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udemaha/Documents/test-excel/"/>
    </mc:Choice>
  </mc:AlternateContent>
  <xr:revisionPtr revIDLastSave="0" documentId="13_ncr:1_{7575406B-6E77-2743-AA17-C19F3FDA25ED}" xr6:coauthVersionLast="47" xr6:coauthVersionMax="47" xr10:uidLastSave="{00000000-0000-0000-0000-000000000000}"/>
  <bookViews>
    <workbookView xWindow="0" yWindow="760" windowWidth="30240" windowHeight="18880" xr2:uid="{6E8E85D2-B145-3848-9EAA-97CE9C9B23EB}"/>
  </bookViews>
  <sheets>
    <sheet name="Data Penjualan" sheetId="1" r:id="rId1"/>
    <sheet name="Referensi" sheetId="2" r:id="rId2"/>
    <sheet name="Insight" sheetId="3" r:id="rId3"/>
    <sheet name="Pivot" sheetId="4" r:id="rId4"/>
    <sheet name="Pivot2" sheetId="5" r:id="rId5"/>
    <sheet name="Pivot3" sheetId="6" r:id="rId6"/>
  </sheets>
  <definedNames>
    <definedName name="NativeTimeline_Tanggal_Pesanan">#N/A</definedName>
  </definedNames>
  <calcPr calcId="191029"/>
  <pivotCaches>
    <pivotCache cacheId="24" r:id="rId7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8"/>
      </x15:timelineCacheRef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3" i="3"/>
  <c r="K3" i="1" l="1"/>
  <c r="L3" i="1"/>
  <c r="M3" i="1"/>
  <c r="N3" i="1"/>
  <c r="O3" i="1"/>
  <c r="P3" i="1"/>
  <c r="Q3" i="1" s="1"/>
  <c r="R3" i="1" s="1"/>
  <c r="K4" i="1"/>
  <c r="L4" i="1"/>
  <c r="M4" i="1"/>
  <c r="N4" i="1"/>
  <c r="O4" i="1"/>
  <c r="P4" i="1"/>
  <c r="Q4" i="1" s="1"/>
  <c r="R4" i="1" s="1"/>
  <c r="K5" i="1"/>
  <c r="L5" i="1"/>
  <c r="M5" i="1"/>
  <c r="N5" i="1"/>
  <c r="O5" i="1"/>
  <c r="K6" i="1"/>
  <c r="L6" i="1"/>
  <c r="M6" i="1"/>
  <c r="O6" i="1" s="1"/>
  <c r="N6" i="1"/>
  <c r="K7" i="1"/>
  <c r="L7" i="1"/>
  <c r="M7" i="1"/>
  <c r="O7" i="1" s="1"/>
  <c r="N7" i="1"/>
  <c r="P7" i="1"/>
  <c r="Q7" i="1"/>
  <c r="R7" i="1" s="1"/>
  <c r="K8" i="1"/>
  <c r="L8" i="1"/>
  <c r="M8" i="1"/>
  <c r="O8" i="1" s="1"/>
  <c r="N8" i="1"/>
  <c r="P8" i="1" s="1"/>
  <c r="Q8" i="1" s="1"/>
  <c r="R8" i="1"/>
  <c r="K9" i="1"/>
  <c r="L9" i="1"/>
  <c r="M9" i="1"/>
  <c r="N9" i="1"/>
  <c r="O9" i="1"/>
  <c r="P9" i="1"/>
  <c r="Q9" i="1"/>
  <c r="R9" i="1"/>
  <c r="K10" i="1"/>
  <c r="L10" i="1"/>
  <c r="M10" i="1"/>
  <c r="N10" i="1"/>
  <c r="O10" i="1"/>
  <c r="P10" i="1"/>
  <c r="Q10" i="1"/>
  <c r="R10" i="1" s="1"/>
  <c r="K11" i="1"/>
  <c r="L11" i="1"/>
  <c r="M11" i="1"/>
  <c r="N11" i="1"/>
  <c r="O11" i="1"/>
  <c r="P11" i="1"/>
  <c r="Q11" i="1" s="1"/>
  <c r="R11" i="1" s="1"/>
  <c r="K12" i="1"/>
  <c r="L12" i="1"/>
  <c r="M12" i="1"/>
  <c r="N12" i="1"/>
  <c r="O12" i="1"/>
  <c r="K13" i="1"/>
  <c r="L13" i="1"/>
  <c r="M13" i="1"/>
  <c r="N13" i="1"/>
  <c r="K14" i="1"/>
  <c r="L14" i="1"/>
  <c r="M14" i="1"/>
  <c r="O14" i="1" s="1"/>
  <c r="N14" i="1"/>
  <c r="P14" i="1"/>
  <c r="Q14" i="1" s="1"/>
  <c r="R14" i="1" s="1"/>
  <c r="K15" i="1"/>
  <c r="L15" i="1"/>
  <c r="M15" i="1"/>
  <c r="N15" i="1"/>
  <c r="P15" i="1" s="1"/>
  <c r="Q15" i="1" s="1"/>
  <c r="R15" i="1" s="1"/>
  <c r="O15" i="1"/>
  <c r="K16" i="1"/>
  <c r="L16" i="1"/>
  <c r="M16" i="1"/>
  <c r="N16" i="1"/>
  <c r="O16" i="1"/>
  <c r="P16" i="1"/>
  <c r="Q16" i="1" s="1"/>
  <c r="R16" i="1" s="1"/>
  <c r="K17" i="1"/>
  <c r="L17" i="1"/>
  <c r="M17" i="1"/>
  <c r="N17" i="1"/>
  <c r="O17" i="1"/>
  <c r="P17" i="1"/>
  <c r="Q17" i="1"/>
  <c r="R17" i="1" s="1"/>
  <c r="K18" i="1"/>
  <c r="L18" i="1"/>
  <c r="M18" i="1"/>
  <c r="N18" i="1"/>
  <c r="P18" i="1" s="1"/>
  <c r="Q18" i="1" s="1"/>
  <c r="R18" i="1" s="1"/>
  <c r="O18" i="1"/>
  <c r="K19" i="1"/>
  <c r="L19" i="1"/>
  <c r="M19" i="1"/>
  <c r="N19" i="1"/>
  <c r="O19" i="1"/>
  <c r="K20" i="1"/>
  <c r="L20" i="1"/>
  <c r="M20" i="1"/>
  <c r="N20" i="1"/>
  <c r="K21" i="1"/>
  <c r="L21" i="1"/>
  <c r="M21" i="1"/>
  <c r="O21" i="1" s="1"/>
  <c r="P21" i="1" s="1"/>
  <c r="Q21" i="1" s="1"/>
  <c r="R21" i="1" s="1"/>
  <c r="N21" i="1"/>
  <c r="K22" i="1"/>
  <c r="L22" i="1"/>
  <c r="M22" i="1"/>
  <c r="N22" i="1"/>
  <c r="P22" i="1" s="1"/>
  <c r="Q22" i="1" s="1"/>
  <c r="O22" i="1"/>
  <c r="R22" i="1"/>
  <c r="K23" i="1"/>
  <c r="L23" i="1"/>
  <c r="M23" i="1"/>
  <c r="N23" i="1"/>
  <c r="O23" i="1" s="1"/>
  <c r="K24" i="1"/>
  <c r="L24" i="1"/>
  <c r="M24" i="1"/>
  <c r="N24" i="1"/>
  <c r="O24" i="1"/>
  <c r="P24" i="1"/>
  <c r="Q24" i="1"/>
  <c r="R24" i="1" s="1"/>
  <c r="K25" i="1"/>
  <c r="L25" i="1"/>
  <c r="M25" i="1"/>
  <c r="O25" i="1" s="1"/>
  <c r="P25" i="1" s="1"/>
  <c r="Q25" i="1" s="1"/>
  <c r="R25" i="1" s="1"/>
  <c r="N25" i="1"/>
  <c r="K26" i="1"/>
  <c r="L26" i="1"/>
  <c r="M26" i="1"/>
  <c r="N26" i="1"/>
  <c r="O26" i="1" s="1"/>
  <c r="K27" i="1"/>
  <c r="L27" i="1"/>
  <c r="M27" i="1"/>
  <c r="N27" i="1"/>
  <c r="K28" i="1"/>
  <c r="L28" i="1"/>
  <c r="M28" i="1"/>
  <c r="O28" i="1" s="1"/>
  <c r="N28" i="1"/>
  <c r="P28" i="1"/>
  <c r="Q28" i="1"/>
  <c r="R28" i="1"/>
  <c r="K29" i="1"/>
  <c r="L29" i="1"/>
  <c r="M29" i="1"/>
  <c r="N29" i="1"/>
  <c r="P29" i="1" s="1"/>
  <c r="Q29" i="1" s="1"/>
  <c r="O29" i="1"/>
  <c r="R29" i="1"/>
  <c r="K30" i="1"/>
  <c r="L30" i="1"/>
  <c r="M30" i="1"/>
  <c r="N30" i="1"/>
  <c r="O30" i="1"/>
  <c r="P30" i="1"/>
  <c r="Q30" i="1"/>
  <c r="R30" i="1"/>
  <c r="K31" i="1"/>
  <c r="L31" i="1"/>
  <c r="M31" i="1"/>
  <c r="N31" i="1"/>
  <c r="O31" i="1"/>
  <c r="P31" i="1"/>
  <c r="Q31" i="1"/>
  <c r="R31" i="1" s="1"/>
  <c r="K32" i="1"/>
  <c r="L32" i="1"/>
  <c r="M32" i="1"/>
  <c r="N32" i="1"/>
  <c r="O32" i="1"/>
  <c r="P32" i="1"/>
  <c r="Q32" i="1" s="1"/>
  <c r="R32" i="1" s="1"/>
  <c r="K33" i="1"/>
  <c r="L33" i="1"/>
  <c r="M33" i="1"/>
  <c r="N33" i="1"/>
  <c r="O33" i="1"/>
  <c r="K34" i="1"/>
  <c r="L34" i="1"/>
  <c r="M34" i="1"/>
  <c r="O34" i="1" s="1"/>
  <c r="N34" i="1"/>
  <c r="K35" i="1"/>
  <c r="L35" i="1"/>
  <c r="M35" i="1"/>
  <c r="O35" i="1" s="1"/>
  <c r="N35" i="1"/>
  <c r="P35" i="1"/>
  <c r="Q35" i="1" s="1"/>
  <c r="R35" i="1" s="1"/>
  <c r="K36" i="1"/>
  <c r="L36" i="1"/>
  <c r="M36" i="1"/>
  <c r="N36" i="1"/>
  <c r="P36" i="1" s="1"/>
  <c r="Q36" i="1" s="1"/>
  <c r="O36" i="1"/>
  <c r="R36" i="1"/>
  <c r="K37" i="1"/>
  <c r="L37" i="1"/>
  <c r="M37" i="1"/>
  <c r="N37" i="1"/>
  <c r="O37" i="1"/>
  <c r="P37" i="1"/>
  <c r="Q37" i="1" s="1"/>
  <c r="R37" i="1" s="1"/>
  <c r="K38" i="1"/>
  <c r="L38" i="1"/>
  <c r="M38" i="1"/>
  <c r="N38" i="1"/>
  <c r="O38" i="1"/>
  <c r="P38" i="1"/>
  <c r="Q38" i="1" s="1"/>
  <c r="R38" i="1" s="1"/>
  <c r="K39" i="1"/>
  <c r="L39" i="1"/>
  <c r="M39" i="1"/>
  <c r="N39" i="1"/>
  <c r="O39" i="1"/>
  <c r="P39" i="1" s="1"/>
  <c r="Q39" i="1" s="1"/>
  <c r="R39" i="1" s="1"/>
  <c r="K40" i="1"/>
  <c r="L40" i="1"/>
  <c r="M40" i="1"/>
  <c r="N40" i="1"/>
  <c r="O40" i="1"/>
  <c r="K41" i="1"/>
  <c r="L41" i="1"/>
  <c r="M41" i="1"/>
  <c r="N41" i="1"/>
  <c r="K42" i="1"/>
  <c r="L42" i="1"/>
  <c r="M42" i="1"/>
  <c r="O42" i="1" s="1"/>
  <c r="P42" i="1" s="1"/>
  <c r="Q42" i="1" s="1"/>
  <c r="R42" i="1" s="1"/>
  <c r="N42" i="1"/>
  <c r="K43" i="1"/>
  <c r="L43" i="1"/>
  <c r="M43" i="1"/>
  <c r="N43" i="1"/>
  <c r="O43" i="1"/>
  <c r="P43" i="1" s="1"/>
  <c r="Q43" i="1" s="1"/>
  <c r="R43" i="1"/>
  <c r="K44" i="1"/>
  <c r="L44" i="1"/>
  <c r="M44" i="1"/>
  <c r="N44" i="1"/>
  <c r="O44" i="1" s="1"/>
  <c r="K45" i="1"/>
  <c r="L45" i="1"/>
  <c r="M45" i="1"/>
  <c r="N45" i="1"/>
  <c r="O45" i="1"/>
  <c r="P45" i="1"/>
  <c r="Q45" i="1"/>
  <c r="R45" i="1" s="1"/>
  <c r="K46" i="1"/>
  <c r="L46" i="1"/>
  <c r="M46" i="1"/>
  <c r="O46" i="1" s="1"/>
  <c r="N46" i="1"/>
  <c r="K47" i="1"/>
  <c r="L47" i="1"/>
  <c r="M47" i="1"/>
  <c r="N47" i="1"/>
  <c r="O47" i="1"/>
  <c r="K48" i="1"/>
  <c r="L48" i="1"/>
  <c r="M48" i="1"/>
  <c r="N48" i="1"/>
  <c r="K49" i="1"/>
  <c r="L49" i="1"/>
  <c r="M49" i="1"/>
  <c r="O49" i="1" s="1"/>
  <c r="N49" i="1"/>
  <c r="P49" i="1"/>
  <c r="Q49" i="1"/>
  <c r="R49" i="1"/>
  <c r="K50" i="1"/>
  <c r="L50" i="1"/>
  <c r="M50" i="1"/>
  <c r="N50" i="1"/>
  <c r="O50" i="1"/>
  <c r="P50" i="1" s="1"/>
  <c r="Q50" i="1" s="1"/>
  <c r="R50" i="1"/>
  <c r="K51" i="1"/>
  <c r="L51" i="1"/>
  <c r="M51" i="1"/>
  <c r="N51" i="1"/>
  <c r="O51" i="1" s="1"/>
  <c r="P51" i="1" s="1"/>
  <c r="Q51" i="1" s="1"/>
  <c r="R51" i="1" s="1"/>
  <c r="K52" i="1"/>
  <c r="L52" i="1"/>
  <c r="M52" i="1"/>
  <c r="N52" i="1"/>
  <c r="O52" i="1"/>
  <c r="P52" i="1"/>
  <c r="Q52" i="1"/>
  <c r="R52" i="1" s="1"/>
  <c r="K53" i="1"/>
  <c r="L53" i="1"/>
  <c r="M53" i="1"/>
  <c r="N53" i="1"/>
  <c r="O53" i="1"/>
  <c r="P53" i="1"/>
  <c r="Q53" i="1" s="1"/>
  <c r="R53" i="1" s="1"/>
  <c r="K54" i="1"/>
  <c r="L54" i="1"/>
  <c r="M54" i="1"/>
  <c r="N54" i="1"/>
  <c r="O54" i="1"/>
  <c r="K55" i="1"/>
  <c r="L55" i="1"/>
  <c r="M55" i="1"/>
  <c r="O55" i="1" s="1"/>
  <c r="N55" i="1"/>
  <c r="K56" i="1"/>
  <c r="L56" i="1"/>
  <c r="M56" i="1"/>
  <c r="O56" i="1" s="1"/>
  <c r="N56" i="1"/>
  <c r="P56" i="1"/>
  <c r="Q56" i="1"/>
  <c r="R56" i="1"/>
  <c r="K57" i="1"/>
  <c r="L57" i="1"/>
  <c r="M57" i="1"/>
  <c r="O57" i="1" s="1"/>
  <c r="N57" i="1"/>
  <c r="P57" i="1" s="1"/>
  <c r="Q57" i="1" s="1"/>
  <c r="R57" i="1"/>
  <c r="K58" i="1"/>
  <c r="L58" i="1"/>
  <c r="M58" i="1"/>
  <c r="N58" i="1"/>
  <c r="O58" i="1"/>
  <c r="P58" i="1"/>
  <c r="Q58" i="1"/>
  <c r="R58" i="1"/>
  <c r="K59" i="1"/>
  <c r="L59" i="1"/>
  <c r="M59" i="1"/>
  <c r="N59" i="1"/>
  <c r="O59" i="1"/>
  <c r="P59" i="1"/>
  <c r="Q59" i="1" s="1"/>
  <c r="R59" i="1" s="1"/>
  <c r="K60" i="1"/>
  <c r="L60" i="1"/>
  <c r="M60" i="1"/>
  <c r="N60" i="1"/>
  <c r="O60" i="1"/>
  <c r="P60" i="1"/>
  <c r="Q60" i="1" s="1"/>
  <c r="R60" i="1" s="1"/>
  <c r="K61" i="1"/>
  <c r="L61" i="1"/>
  <c r="M61" i="1"/>
  <c r="N61" i="1"/>
  <c r="O61" i="1"/>
  <c r="K62" i="1"/>
  <c r="L62" i="1"/>
  <c r="M62" i="1"/>
  <c r="N62" i="1"/>
  <c r="K63" i="1"/>
  <c r="L63" i="1"/>
  <c r="M63" i="1"/>
  <c r="O63" i="1" s="1"/>
  <c r="N63" i="1"/>
  <c r="P63" i="1"/>
  <c r="Q63" i="1"/>
  <c r="R63" i="1" s="1"/>
  <c r="K64" i="1"/>
  <c r="L64" i="1"/>
  <c r="M64" i="1"/>
  <c r="N64" i="1"/>
  <c r="O64" i="1"/>
  <c r="P64" i="1" s="1"/>
  <c r="Q64" i="1" s="1"/>
  <c r="R64" i="1" s="1"/>
  <c r="K65" i="1"/>
  <c r="L65" i="1"/>
  <c r="M65" i="1"/>
  <c r="N65" i="1"/>
  <c r="O65" i="1"/>
  <c r="P65" i="1"/>
  <c r="Q65" i="1"/>
  <c r="R65" i="1" s="1"/>
  <c r="K66" i="1"/>
  <c r="L66" i="1"/>
  <c r="M66" i="1"/>
  <c r="N66" i="1"/>
  <c r="O66" i="1"/>
  <c r="P66" i="1"/>
  <c r="Q66" i="1"/>
  <c r="R66" i="1" s="1"/>
  <c r="K67" i="1"/>
  <c r="L67" i="1"/>
  <c r="M67" i="1"/>
  <c r="N67" i="1"/>
  <c r="O67" i="1"/>
  <c r="P67" i="1"/>
  <c r="Q67" i="1" s="1"/>
  <c r="R67" i="1" s="1"/>
  <c r="K68" i="1"/>
  <c r="L68" i="1"/>
  <c r="M68" i="1"/>
  <c r="N68" i="1"/>
  <c r="O68" i="1"/>
  <c r="K69" i="1"/>
  <c r="L69" i="1"/>
  <c r="M69" i="1"/>
  <c r="N69" i="1"/>
  <c r="K70" i="1"/>
  <c r="L70" i="1"/>
  <c r="M70" i="1"/>
  <c r="O70" i="1" s="1"/>
  <c r="P70" i="1" s="1"/>
  <c r="Q70" i="1" s="1"/>
  <c r="R70" i="1" s="1"/>
  <c r="N70" i="1"/>
  <c r="K71" i="1"/>
  <c r="L71" i="1"/>
  <c r="M71" i="1"/>
  <c r="N71" i="1"/>
  <c r="P71" i="1" s="1"/>
  <c r="Q71" i="1" s="1"/>
  <c r="R71" i="1" s="1"/>
  <c r="O71" i="1"/>
  <c r="K72" i="1"/>
  <c r="L72" i="1"/>
  <c r="M72" i="1"/>
  <c r="N72" i="1"/>
  <c r="P72" i="1" s="1"/>
  <c r="Q72" i="1" s="1"/>
  <c r="R72" i="1" s="1"/>
  <c r="O72" i="1"/>
  <c r="K73" i="1"/>
  <c r="L73" i="1"/>
  <c r="M73" i="1"/>
  <c r="N73" i="1"/>
  <c r="O73" i="1"/>
  <c r="P73" i="1"/>
  <c r="Q73" i="1"/>
  <c r="R73" i="1" s="1"/>
  <c r="K74" i="1"/>
  <c r="L74" i="1"/>
  <c r="M74" i="1"/>
  <c r="O74" i="1" s="1"/>
  <c r="N74" i="1"/>
  <c r="K75" i="1"/>
  <c r="L75" i="1"/>
  <c r="M75" i="1"/>
  <c r="N75" i="1"/>
  <c r="O75" i="1" s="1"/>
  <c r="K76" i="1"/>
  <c r="L76" i="1"/>
  <c r="M76" i="1"/>
  <c r="N76" i="1"/>
  <c r="K77" i="1"/>
  <c r="L77" i="1"/>
  <c r="M77" i="1"/>
  <c r="N77" i="1"/>
  <c r="O77" i="1"/>
  <c r="P77" i="1"/>
  <c r="Q77" i="1"/>
  <c r="R77" i="1"/>
  <c r="K78" i="1"/>
  <c r="L78" i="1"/>
  <c r="M78" i="1"/>
  <c r="N78" i="1"/>
  <c r="P78" i="1" s="1"/>
  <c r="Q78" i="1" s="1"/>
  <c r="O78" i="1"/>
  <c r="R78" i="1"/>
  <c r="K79" i="1"/>
  <c r="L79" i="1"/>
  <c r="M79" i="1"/>
  <c r="N79" i="1"/>
  <c r="O79" i="1"/>
  <c r="P79" i="1"/>
  <c r="Q79" i="1"/>
  <c r="R79" i="1"/>
  <c r="K80" i="1"/>
  <c r="L80" i="1"/>
  <c r="M80" i="1"/>
  <c r="N80" i="1"/>
  <c r="O80" i="1"/>
  <c r="P80" i="1"/>
  <c r="Q80" i="1"/>
  <c r="R80" i="1" s="1"/>
  <c r="K81" i="1"/>
  <c r="L81" i="1"/>
  <c r="M81" i="1"/>
  <c r="N81" i="1"/>
  <c r="O81" i="1"/>
  <c r="P81" i="1"/>
  <c r="Q81" i="1" s="1"/>
  <c r="R81" i="1" s="1"/>
  <c r="K82" i="1"/>
  <c r="L82" i="1"/>
  <c r="M82" i="1"/>
  <c r="N82" i="1"/>
  <c r="O82" i="1"/>
  <c r="K83" i="1"/>
  <c r="L83" i="1"/>
  <c r="M83" i="1"/>
  <c r="N83" i="1"/>
  <c r="K84" i="1"/>
  <c r="L84" i="1"/>
  <c r="M84" i="1"/>
  <c r="N84" i="1"/>
  <c r="O84" i="1"/>
  <c r="P84" i="1" s="1"/>
  <c r="Q84" i="1" s="1"/>
  <c r="R84" i="1" s="1"/>
  <c r="K85" i="1"/>
  <c r="L85" i="1"/>
  <c r="M85" i="1"/>
  <c r="N85" i="1"/>
  <c r="O85" i="1"/>
  <c r="P85" i="1" s="1"/>
  <c r="Q85" i="1" s="1"/>
  <c r="R85" i="1"/>
  <c r="K86" i="1"/>
  <c r="L86" i="1"/>
  <c r="M86" i="1"/>
  <c r="N86" i="1"/>
  <c r="O86" i="1" s="1"/>
  <c r="K87" i="1"/>
  <c r="L87" i="1"/>
  <c r="M87" i="1"/>
  <c r="N87" i="1"/>
  <c r="O87" i="1"/>
  <c r="P87" i="1"/>
  <c r="Q87" i="1"/>
  <c r="R87" i="1" s="1"/>
  <c r="K88" i="1"/>
  <c r="L88" i="1"/>
  <c r="M88" i="1"/>
  <c r="O88" i="1" s="1"/>
  <c r="N88" i="1"/>
  <c r="P88" i="1" s="1"/>
  <c r="Q88" i="1" s="1"/>
  <c r="R88" i="1" s="1"/>
  <c r="K89" i="1"/>
  <c r="L89" i="1"/>
  <c r="M89" i="1"/>
  <c r="N89" i="1"/>
  <c r="O89" i="1"/>
  <c r="K90" i="1"/>
  <c r="L90" i="1"/>
  <c r="M90" i="1"/>
  <c r="N90" i="1"/>
  <c r="K91" i="1"/>
  <c r="L91" i="1"/>
  <c r="M91" i="1"/>
  <c r="N91" i="1"/>
  <c r="O91" i="1"/>
  <c r="P91" i="1"/>
  <c r="Q91" i="1"/>
  <c r="R91" i="1"/>
  <c r="K92" i="1"/>
  <c r="L92" i="1"/>
  <c r="M92" i="1"/>
  <c r="N92" i="1"/>
  <c r="P92" i="1" s="1"/>
  <c r="Q92" i="1" s="1"/>
  <c r="O92" i="1"/>
  <c r="R92" i="1"/>
  <c r="K93" i="1"/>
  <c r="L93" i="1"/>
  <c r="M93" i="1"/>
  <c r="N93" i="1"/>
  <c r="O93" i="1"/>
  <c r="P93" i="1"/>
  <c r="Q93" i="1"/>
  <c r="R93" i="1"/>
  <c r="K94" i="1"/>
  <c r="L94" i="1"/>
  <c r="M94" i="1"/>
  <c r="N94" i="1"/>
  <c r="O94" i="1"/>
  <c r="P94" i="1"/>
  <c r="Q94" i="1" s="1"/>
  <c r="R94" i="1" s="1"/>
  <c r="K95" i="1"/>
  <c r="L95" i="1"/>
  <c r="M95" i="1"/>
  <c r="N95" i="1"/>
  <c r="O95" i="1"/>
  <c r="P95" i="1"/>
  <c r="Q95" i="1" s="1"/>
  <c r="R95" i="1" s="1"/>
  <c r="K96" i="1"/>
  <c r="L96" i="1"/>
  <c r="M96" i="1"/>
  <c r="N96" i="1"/>
  <c r="O96" i="1"/>
  <c r="K97" i="1"/>
  <c r="L97" i="1"/>
  <c r="M97" i="1"/>
  <c r="N97" i="1"/>
  <c r="K98" i="1"/>
  <c r="L98" i="1"/>
  <c r="M98" i="1"/>
  <c r="O98" i="1" s="1"/>
  <c r="P98" i="1" s="1"/>
  <c r="Q98" i="1" s="1"/>
  <c r="R98" i="1" s="1"/>
  <c r="N98" i="1"/>
  <c r="K99" i="1"/>
  <c r="L99" i="1"/>
  <c r="M99" i="1"/>
  <c r="N99" i="1"/>
  <c r="P99" i="1" s="1"/>
  <c r="Q99" i="1" s="1"/>
  <c r="O99" i="1"/>
  <c r="R99" i="1"/>
  <c r="K100" i="1"/>
  <c r="L100" i="1"/>
  <c r="M100" i="1"/>
  <c r="O100" i="1" s="1"/>
  <c r="N100" i="1"/>
  <c r="K101" i="1"/>
  <c r="L101" i="1"/>
  <c r="M101" i="1"/>
  <c r="N101" i="1"/>
  <c r="O101" i="1"/>
  <c r="P101" i="1"/>
  <c r="Q101" i="1"/>
  <c r="R101" i="1" s="1"/>
  <c r="K102" i="1"/>
  <c r="L102" i="1"/>
  <c r="M102" i="1"/>
  <c r="O102" i="1" s="1"/>
  <c r="P102" i="1" s="1"/>
  <c r="Q102" i="1" s="1"/>
  <c r="R102" i="1" s="1"/>
  <c r="N102" i="1"/>
  <c r="K103" i="1"/>
  <c r="L103" i="1"/>
  <c r="M103" i="1"/>
  <c r="N103" i="1"/>
  <c r="O103" i="1"/>
  <c r="K104" i="1"/>
  <c r="L104" i="1"/>
  <c r="M104" i="1"/>
  <c r="N104" i="1"/>
  <c r="K105" i="1"/>
  <c r="L105" i="1"/>
  <c r="M105" i="1"/>
  <c r="N105" i="1"/>
  <c r="O105" i="1"/>
  <c r="P105" i="1"/>
  <c r="Q105" i="1" s="1"/>
  <c r="R105" i="1" s="1"/>
  <c r="K106" i="1"/>
  <c r="L106" i="1"/>
  <c r="M106" i="1"/>
  <c r="N106" i="1"/>
  <c r="P106" i="1" s="1"/>
  <c r="Q106" i="1" s="1"/>
  <c r="O106" i="1"/>
  <c r="R106" i="1"/>
  <c r="K107" i="1"/>
  <c r="L107" i="1"/>
  <c r="M107" i="1"/>
  <c r="N107" i="1"/>
  <c r="O107" i="1"/>
  <c r="P107" i="1"/>
  <c r="Q107" i="1" s="1"/>
  <c r="R107" i="1" s="1"/>
  <c r="K108" i="1"/>
  <c r="L108" i="1"/>
  <c r="M108" i="1"/>
  <c r="N108" i="1"/>
  <c r="O108" i="1"/>
  <c r="P108" i="1"/>
  <c r="Q108" i="1" s="1"/>
  <c r="R108" i="1" s="1"/>
  <c r="K109" i="1"/>
  <c r="L109" i="1"/>
  <c r="M109" i="1"/>
  <c r="N109" i="1"/>
  <c r="O109" i="1"/>
  <c r="P109" i="1" s="1"/>
  <c r="Q109" i="1" s="1"/>
  <c r="R109" i="1" s="1"/>
  <c r="K110" i="1"/>
  <c r="L110" i="1"/>
  <c r="M110" i="1"/>
  <c r="N110" i="1"/>
  <c r="O110" i="1"/>
  <c r="K111" i="1"/>
  <c r="L111" i="1"/>
  <c r="M111" i="1"/>
  <c r="N111" i="1"/>
  <c r="K112" i="1"/>
  <c r="L112" i="1"/>
  <c r="M112" i="1"/>
  <c r="O112" i="1" s="1"/>
  <c r="P112" i="1" s="1"/>
  <c r="Q112" i="1" s="1"/>
  <c r="R112" i="1" s="1"/>
  <c r="N112" i="1"/>
  <c r="K113" i="1"/>
  <c r="L113" i="1"/>
  <c r="M113" i="1"/>
  <c r="N113" i="1"/>
  <c r="O113" i="1"/>
  <c r="P113" i="1" s="1"/>
  <c r="Q113" i="1" s="1"/>
  <c r="R113" i="1" s="1"/>
  <c r="K114" i="1"/>
  <c r="L114" i="1"/>
  <c r="M114" i="1"/>
  <c r="O114" i="1" s="1"/>
  <c r="P114" i="1" s="1"/>
  <c r="Q114" i="1" s="1"/>
  <c r="R114" i="1" s="1"/>
  <c r="N114" i="1"/>
  <c r="K115" i="1"/>
  <c r="L115" i="1"/>
  <c r="M115" i="1"/>
  <c r="N115" i="1"/>
  <c r="O115" i="1"/>
  <c r="P115" i="1"/>
  <c r="Q115" i="1"/>
  <c r="R115" i="1" s="1"/>
  <c r="K116" i="1"/>
  <c r="L116" i="1"/>
  <c r="M116" i="1"/>
  <c r="N116" i="1"/>
  <c r="O116" i="1"/>
  <c r="P116" i="1"/>
  <c r="Q116" i="1" s="1"/>
  <c r="R116" i="1" s="1"/>
  <c r="K117" i="1"/>
  <c r="L117" i="1"/>
  <c r="M117" i="1"/>
  <c r="N117" i="1"/>
  <c r="O117" i="1"/>
  <c r="K118" i="1"/>
  <c r="L118" i="1"/>
  <c r="M118" i="1"/>
  <c r="O118" i="1" s="1"/>
  <c r="N118" i="1"/>
  <c r="K119" i="1"/>
  <c r="L119" i="1"/>
  <c r="M119" i="1"/>
  <c r="N119" i="1"/>
  <c r="O119" i="1"/>
  <c r="P119" i="1"/>
  <c r="Q119" i="1" s="1"/>
  <c r="R119" i="1" s="1"/>
  <c r="K120" i="1"/>
  <c r="L120" i="1"/>
  <c r="M120" i="1"/>
  <c r="N120" i="1"/>
  <c r="O120" i="1"/>
  <c r="P120" i="1" s="1"/>
  <c r="Q120" i="1" s="1"/>
  <c r="R120" i="1" s="1"/>
  <c r="K121" i="1"/>
  <c r="L121" i="1"/>
  <c r="M121" i="1"/>
  <c r="N121" i="1"/>
  <c r="O121" i="1"/>
  <c r="P121" i="1"/>
  <c r="Q121" i="1" s="1"/>
  <c r="R121" i="1" s="1"/>
  <c r="K122" i="1"/>
  <c r="L122" i="1"/>
  <c r="M122" i="1"/>
  <c r="N122" i="1"/>
  <c r="O122" i="1"/>
  <c r="P122" i="1"/>
  <c r="Q122" i="1" s="1"/>
  <c r="R122" i="1" s="1"/>
  <c r="K123" i="1"/>
  <c r="L123" i="1"/>
  <c r="M123" i="1"/>
  <c r="N123" i="1"/>
  <c r="P123" i="1" s="1"/>
  <c r="Q123" i="1" s="1"/>
  <c r="R123" i="1" s="1"/>
  <c r="O123" i="1"/>
  <c r="K124" i="1"/>
  <c r="L124" i="1"/>
  <c r="M124" i="1"/>
  <c r="N124" i="1"/>
  <c r="O124" i="1"/>
  <c r="K125" i="1"/>
  <c r="L125" i="1"/>
  <c r="M125" i="1"/>
  <c r="N125" i="1"/>
  <c r="K126" i="1"/>
  <c r="L126" i="1"/>
  <c r="M126" i="1"/>
  <c r="N126" i="1"/>
  <c r="O126" i="1"/>
  <c r="P126" i="1" s="1"/>
  <c r="Q126" i="1" s="1"/>
  <c r="R126" i="1" s="1"/>
  <c r="K127" i="1"/>
  <c r="L127" i="1"/>
  <c r="M127" i="1"/>
  <c r="N127" i="1"/>
  <c r="P127" i="1" s="1"/>
  <c r="Q127" i="1" s="1"/>
  <c r="O127" i="1"/>
  <c r="R127" i="1"/>
  <c r="K128" i="1"/>
  <c r="L128" i="1"/>
  <c r="M128" i="1"/>
  <c r="N128" i="1"/>
  <c r="O128" i="1"/>
  <c r="P128" i="1" s="1"/>
  <c r="Q128" i="1" s="1"/>
  <c r="R128" i="1" s="1"/>
  <c r="K129" i="1"/>
  <c r="L129" i="1"/>
  <c r="M129" i="1"/>
  <c r="N129" i="1"/>
  <c r="O129" i="1"/>
  <c r="P129" i="1"/>
  <c r="Q129" i="1"/>
  <c r="R129" i="1" s="1"/>
  <c r="K130" i="1"/>
  <c r="L130" i="1"/>
  <c r="M130" i="1"/>
  <c r="N130" i="1"/>
  <c r="O130" i="1" s="1"/>
  <c r="P130" i="1" s="1"/>
  <c r="Q130" i="1" s="1"/>
  <c r="R130" i="1" s="1"/>
  <c r="K131" i="1"/>
  <c r="L131" i="1"/>
  <c r="M131" i="1"/>
  <c r="N131" i="1"/>
  <c r="O131" i="1"/>
  <c r="K132" i="1"/>
  <c r="L132" i="1"/>
  <c r="M132" i="1"/>
  <c r="N132" i="1"/>
  <c r="K133" i="1"/>
  <c r="L133" i="1"/>
  <c r="M133" i="1"/>
  <c r="N133" i="1"/>
  <c r="O133" i="1"/>
  <c r="P133" i="1" s="1"/>
  <c r="Q133" i="1" s="1"/>
  <c r="R133" i="1" s="1"/>
  <c r="K134" i="1"/>
  <c r="L134" i="1"/>
  <c r="M134" i="1"/>
  <c r="N134" i="1"/>
  <c r="O134" i="1"/>
  <c r="P134" i="1" s="1"/>
  <c r="Q134" i="1" s="1"/>
  <c r="R134" i="1"/>
  <c r="K135" i="1"/>
  <c r="L135" i="1"/>
  <c r="M135" i="1"/>
  <c r="N135" i="1"/>
  <c r="O135" i="1" s="1"/>
  <c r="K136" i="1"/>
  <c r="L136" i="1"/>
  <c r="M136" i="1"/>
  <c r="N136" i="1"/>
  <c r="O136" i="1"/>
  <c r="P136" i="1"/>
  <c r="Q136" i="1"/>
  <c r="R136" i="1" s="1"/>
  <c r="K137" i="1"/>
  <c r="L137" i="1"/>
  <c r="M137" i="1"/>
  <c r="O137" i="1" s="1"/>
  <c r="N137" i="1"/>
  <c r="K138" i="1"/>
  <c r="L138" i="1"/>
  <c r="M138" i="1"/>
  <c r="N138" i="1"/>
  <c r="O138" i="1"/>
  <c r="K139" i="1"/>
  <c r="L139" i="1"/>
  <c r="M139" i="1"/>
  <c r="N139" i="1"/>
  <c r="K140" i="1"/>
  <c r="L140" i="1"/>
  <c r="M140" i="1"/>
  <c r="N140" i="1"/>
  <c r="O140" i="1"/>
  <c r="P140" i="1"/>
  <c r="Q140" i="1"/>
  <c r="R140" i="1"/>
  <c r="K141" i="1"/>
  <c r="L141" i="1"/>
  <c r="M141" i="1"/>
  <c r="N141" i="1"/>
  <c r="P141" i="1" s="1"/>
  <c r="Q141" i="1" s="1"/>
  <c r="O141" i="1"/>
  <c r="R141" i="1"/>
  <c r="K142" i="1"/>
  <c r="L142" i="1"/>
  <c r="M142" i="1"/>
  <c r="N142" i="1"/>
  <c r="O142" i="1"/>
  <c r="P142" i="1"/>
  <c r="Q142" i="1"/>
  <c r="R142" i="1"/>
  <c r="K143" i="1"/>
  <c r="L143" i="1"/>
  <c r="M143" i="1"/>
  <c r="N143" i="1"/>
  <c r="O143" i="1"/>
  <c r="P143" i="1"/>
  <c r="Q143" i="1" s="1"/>
  <c r="R143" i="1" s="1"/>
  <c r="K144" i="1"/>
  <c r="L144" i="1"/>
  <c r="M144" i="1"/>
  <c r="N144" i="1"/>
  <c r="O144" i="1"/>
  <c r="P144" i="1"/>
  <c r="Q144" i="1" s="1"/>
  <c r="R144" i="1" s="1"/>
  <c r="K145" i="1"/>
  <c r="L145" i="1"/>
  <c r="M145" i="1"/>
  <c r="N145" i="1"/>
  <c r="O145" i="1"/>
  <c r="K146" i="1"/>
  <c r="L146" i="1"/>
  <c r="M146" i="1"/>
  <c r="N146" i="1"/>
  <c r="K147" i="1"/>
  <c r="L147" i="1"/>
  <c r="M147" i="1"/>
  <c r="O147" i="1" s="1"/>
  <c r="P147" i="1" s="1"/>
  <c r="Q147" i="1" s="1"/>
  <c r="R147" i="1" s="1"/>
  <c r="N147" i="1"/>
  <c r="K148" i="1"/>
  <c r="L148" i="1"/>
  <c r="M148" i="1"/>
  <c r="N148" i="1"/>
  <c r="O148" i="1"/>
  <c r="P148" i="1" s="1"/>
  <c r="Q148" i="1" s="1"/>
  <c r="R148" i="1"/>
  <c r="K149" i="1"/>
  <c r="L149" i="1"/>
  <c r="M149" i="1"/>
  <c r="O149" i="1" s="1"/>
  <c r="N149" i="1"/>
  <c r="P149" i="1" s="1"/>
  <c r="Q149" i="1" s="1"/>
  <c r="R149" i="1" s="1"/>
  <c r="K150" i="1"/>
  <c r="L150" i="1"/>
  <c r="M150" i="1"/>
  <c r="N150" i="1"/>
  <c r="O150" i="1"/>
  <c r="P150" i="1"/>
  <c r="Q150" i="1"/>
  <c r="R150" i="1" s="1"/>
  <c r="K151" i="1"/>
  <c r="L151" i="1"/>
  <c r="M151" i="1"/>
  <c r="O151" i="1" s="1"/>
  <c r="P151" i="1" s="1"/>
  <c r="Q151" i="1" s="1"/>
  <c r="R151" i="1" s="1"/>
  <c r="N151" i="1"/>
  <c r="K152" i="1"/>
  <c r="L152" i="1"/>
  <c r="M152" i="1"/>
  <c r="N152" i="1"/>
  <c r="O152" i="1" s="1"/>
  <c r="K153" i="1"/>
  <c r="L153" i="1"/>
  <c r="M153" i="1"/>
  <c r="N153" i="1"/>
  <c r="K154" i="1"/>
  <c r="L154" i="1"/>
  <c r="M154" i="1"/>
  <c r="N154" i="1"/>
  <c r="O154" i="1"/>
  <c r="P154" i="1"/>
  <c r="Q154" i="1"/>
  <c r="R154" i="1" s="1"/>
  <c r="K155" i="1"/>
  <c r="L155" i="1"/>
  <c r="M155" i="1"/>
  <c r="N155" i="1"/>
  <c r="P155" i="1" s="1"/>
  <c r="Q155" i="1" s="1"/>
  <c r="O155" i="1"/>
  <c r="R155" i="1"/>
  <c r="K156" i="1"/>
  <c r="L156" i="1"/>
  <c r="M156" i="1"/>
  <c r="N156" i="1"/>
  <c r="O156" i="1"/>
  <c r="P156" i="1"/>
  <c r="Q156" i="1"/>
  <c r="R156" i="1" s="1"/>
  <c r="K157" i="1"/>
  <c r="L157" i="1"/>
  <c r="M157" i="1"/>
  <c r="N157" i="1"/>
  <c r="O157" i="1"/>
  <c r="P157" i="1"/>
  <c r="Q157" i="1" s="1"/>
  <c r="R157" i="1" s="1"/>
  <c r="K158" i="1"/>
  <c r="L158" i="1"/>
  <c r="M158" i="1"/>
  <c r="N158" i="1"/>
  <c r="O158" i="1"/>
  <c r="P158" i="1"/>
  <c r="Q158" i="1" s="1"/>
  <c r="R158" i="1" s="1"/>
  <c r="K159" i="1"/>
  <c r="L159" i="1"/>
  <c r="M159" i="1"/>
  <c r="N159" i="1"/>
  <c r="O159" i="1"/>
  <c r="K160" i="1"/>
  <c r="L160" i="1"/>
  <c r="M160" i="1"/>
  <c r="N160" i="1"/>
  <c r="K161" i="1"/>
  <c r="L161" i="1"/>
  <c r="M161" i="1"/>
  <c r="O161" i="1" s="1"/>
  <c r="P161" i="1" s="1"/>
  <c r="Q161" i="1" s="1"/>
  <c r="R161" i="1" s="1"/>
  <c r="N161" i="1"/>
  <c r="K162" i="1"/>
  <c r="L162" i="1"/>
  <c r="M162" i="1"/>
  <c r="N162" i="1"/>
  <c r="P162" i="1" s="1"/>
  <c r="Q162" i="1" s="1"/>
  <c r="O162" i="1"/>
  <c r="R162" i="1"/>
  <c r="K163" i="1"/>
  <c r="L163" i="1"/>
  <c r="M163" i="1"/>
  <c r="O163" i="1" s="1"/>
  <c r="P163" i="1" s="1"/>
  <c r="Q163" i="1" s="1"/>
  <c r="R163" i="1" s="1"/>
  <c r="N163" i="1"/>
  <c r="K164" i="1"/>
  <c r="L164" i="1"/>
  <c r="M164" i="1"/>
  <c r="N164" i="1"/>
  <c r="O164" i="1"/>
  <c r="P164" i="1"/>
  <c r="Q164" i="1"/>
  <c r="R164" i="1" s="1"/>
  <c r="K165" i="1"/>
  <c r="L165" i="1"/>
  <c r="M165" i="1"/>
  <c r="N165" i="1"/>
  <c r="O165" i="1"/>
  <c r="P165" i="1"/>
  <c r="Q165" i="1" s="1"/>
  <c r="R165" i="1" s="1"/>
  <c r="K166" i="1"/>
  <c r="L166" i="1"/>
  <c r="M166" i="1"/>
  <c r="N166" i="1"/>
  <c r="O166" i="1"/>
  <c r="K167" i="1"/>
  <c r="L167" i="1"/>
  <c r="M167" i="1"/>
  <c r="O167" i="1" s="1"/>
  <c r="N167" i="1"/>
  <c r="K168" i="1"/>
  <c r="L168" i="1"/>
  <c r="M168" i="1"/>
  <c r="N168" i="1"/>
  <c r="O168" i="1"/>
  <c r="P168" i="1"/>
  <c r="Q168" i="1" s="1"/>
  <c r="R168" i="1" s="1"/>
  <c r="K169" i="1"/>
  <c r="L169" i="1"/>
  <c r="M169" i="1"/>
  <c r="N169" i="1"/>
  <c r="O169" i="1"/>
  <c r="P169" i="1" s="1"/>
  <c r="Q169" i="1" s="1"/>
  <c r="R169" i="1" s="1"/>
  <c r="K170" i="1"/>
  <c r="L170" i="1"/>
  <c r="M170" i="1"/>
  <c r="N170" i="1"/>
  <c r="O170" i="1"/>
  <c r="P170" i="1"/>
  <c r="Q170" i="1" s="1"/>
  <c r="R170" i="1" s="1"/>
  <c r="K171" i="1"/>
  <c r="L171" i="1"/>
  <c r="M171" i="1"/>
  <c r="N171" i="1"/>
  <c r="O171" i="1"/>
  <c r="P171" i="1"/>
  <c r="Q171" i="1"/>
  <c r="R171" i="1" s="1"/>
  <c r="K172" i="1"/>
  <c r="L172" i="1"/>
  <c r="M172" i="1"/>
  <c r="N172" i="1"/>
  <c r="P172" i="1" s="1"/>
  <c r="Q172" i="1" s="1"/>
  <c r="R172" i="1" s="1"/>
  <c r="O172" i="1"/>
  <c r="K173" i="1"/>
  <c r="L173" i="1"/>
  <c r="M173" i="1"/>
  <c r="N173" i="1"/>
  <c r="O173" i="1"/>
  <c r="K174" i="1"/>
  <c r="L174" i="1"/>
  <c r="M174" i="1"/>
  <c r="N174" i="1"/>
  <c r="K175" i="1"/>
  <c r="L175" i="1"/>
  <c r="M175" i="1"/>
  <c r="N175" i="1"/>
  <c r="O175" i="1"/>
  <c r="P175" i="1"/>
  <c r="Q175" i="1"/>
  <c r="R175" i="1"/>
  <c r="K176" i="1"/>
  <c r="L176" i="1"/>
  <c r="M176" i="1"/>
  <c r="N176" i="1"/>
  <c r="P176" i="1" s="1"/>
  <c r="Q176" i="1" s="1"/>
  <c r="O176" i="1"/>
  <c r="R176" i="1"/>
  <c r="K177" i="1"/>
  <c r="L177" i="1"/>
  <c r="M177" i="1"/>
  <c r="N177" i="1"/>
  <c r="O177" i="1"/>
  <c r="P177" i="1" s="1"/>
  <c r="Q177" i="1" s="1"/>
  <c r="R177" i="1" s="1"/>
  <c r="K178" i="1"/>
  <c r="L178" i="1"/>
  <c r="M178" i="1"/>
  <c r="N178" i="1"/>
  <c r="O178" i="1"/>
  <c r="P178" i="1"/>
  <c r="Q178" i="1"/>
  <c r="R178" i="1" s="1"/>
  <c r="K179" i="1"/>
  <c r="L179" i="1"/>
  <c r="M179" i="1"/>
  <c r="N179" i="1"/>
  <c r="O179" i="1"/>
  <c r="P179" i="1"/>
  <c r="Q179" i="1" s="1"/>
  <c r="R179" i="1" s="1"/>
  <c r="K180" i="1"/>
  <c r="L180" i="1"/>
  <c r="M180" i="1"/>
  <c r="N180" i="1"/>
  <c r="O180" i="1"/>
  <c r="K181" i="1"/>
  <c r="L181" i="1"/>
  <c r="M181" i="1"/>
  <c r="N181" i="1"/>
  <c r="K182" i="1"/>
  <c r="L182" i="1"/>
  <c r="M182" i="1"/>
  <c r="N182" i="1"/>
  <c r="O182" i="1"/>
  <c r="P182" i="1" s="1"/>
  <c r="Q182" i="1" s="1"/>
  <c r="R182" i="1" s="1"/>
  <c r="K183" i="1"/>
  <c r="L183" i="1"/>
  <c r="M183" i="1"/>
  <c r="N183" i="1"/>
  <c r="O183" i="1"/>
  <c r="P183" i="1" s="1"/>
  <c r="Q183" i="1"/>
  <c r="R183" i="1"/>
  <c r="K184" i="1"/>
  <c r="L184" i="1"/>
  <c r="M184" i="1"/>
  <c r="O184" i="1" s="1"/>
  <c r="N184" i="1"/>
  <c r="P184" i="1" s="1"/>
  <c r="Q184" i="1" s="1"/>
  <c r="R184" i="1" s="1"/>
  <c r="K185" i="1"/>
  <c r="L185" i="1"/>
  <c r="M185" i="1"/>
  <c r="N185" i="1"/>
  <c r="O185" i="1"/>
  <c r="P185" i="1"/>
  <c r="Q185" i="1"/>
  <c r="R185" i="1" s="1"/>
  <c r="K186" i="1"/>
  <c r="L186" i="1"/>
  <c r="M186" i="1"/>
  <c r="O186" i="1" s="1"/>
  <c r="P186" i="1" s="1"/>
  <c r="Q186" i="1" s="1"/>
  <c r="R186" i="1" s="1"/>
  <c r="N186" i="1"/>
  <c r="K187" i="1"/>
  <c r="L187" i="1"/>
  <c r="M187" i="1"/>
  <c r="O187" i="1" s="1"/>
  <c r="N187" i="1"/>
  <c r="K188" i="1"/>
  <c r="L188" i="1"/>
  <c r="M188" i="1"/>
  <c r="N188" i="1"/>
  <c r="K189" i="1"/>
  <c r="L189" i="1"/>
  <c r="M189" i="1"/>
  <c r="N189" i="1"/>
  <c r="O189" i="1"/>
  <c r="P189" i="1"/>
  <c r="Q189" i="1"/>
  <c r="R189" i="1" s="1"/>
  <c r="K190" i="1"/>
  <c r="L190" i="1"/>
  <c r="M190" i="1"/>
  <c r="N190" i="1"/>
  <c r="P190" i="1" s="1"/>
  <c r="O190" i="1"/>
  <c r="Q190" i="1"/>
  <c r="R190" i="1" s="1"/>
  <c r="K191" i="1"/>
  <c r="L191" i="1"/>
  <c r="M191" i="1"/>
  <c r="N191" i="1"/>
  <c r="O191" i="1"/>
  <c r="P191" i="1"/>
  <c r="Q191" i="1" s="1"/>
  <c r="R191" i="1" s="1"/>
  <c r="K192" i="1"/>
  <c r="L192" i="1"/>
  <c r="M192" i="1"/>
  <c r="N192" i="1"/>
  <c r="O192" i="1"/>
  <c r="P192" i="1" s="1"/>
  <c r="Q192" i="1" s="1"/>
  <c r="R192" i="1" s="1"/>
  <c r="K193" i="1"/>
  <c r="L193" i="1"/>
  <c r="M193" i="1"/>
  <c r="N193" i="1"/>
  <c r="P193" i="1" s="1"/>
  <c r="Q193" i="1" s="1"/>
  <c r="R193" i="1" s="1"/>
  <c r="O193" i="1"/>
  <c r="K194" i="1"/>
  <c r="L194" i="1"/>
  <c r="M194" i="1"/>
  <c r="N194" i="1"/>
  <c r="O194" i="1"/>
  <c r="K195" i="1"/>
  <c r="L195" i="1"/>
  <c r="M195" i="1"/>
  <c r="N195" i="1"/>
  <c r="K196" i="1"/>
  <c r="L196" i="1"/>
  <c r="M196" i="1"/>
  <c r="N196" i="1"/>
  <c r="O196" i="1"/>
  <c r="P196" i="1"/>
  <c r="Q196" i="1"/>
  <c r="R196" i="1"/>
  <c r="K197" i="1"/>
  <c r="L197" i="1"/>
  <c r="M197" i="1"/>
  <c r="N197" i="1"/>
  <c r="P197" i="1" s="1"/>
  <c r="O197" i="1"/>
  <c r="Q197" i="1"/>
  <c r="R197" i="1"/>
  <c r="K198" i="1"/>
  <c r="L198" i="1"/>
  <c r="M198" i="1"/>
  <c r="N198" i="1"/>
  <c r="O198" i="1"/>
  <c r="P198" i="1"/>
  <c r="Q198" i="1"/>
  <c r="R198" i="1"/>
  <c r="K199" i="1"/>
  <c r="L199" i="1"/>
  <c r="M199" i="1"/>
  <c r="N199" i="1"/>
  <c r="O199" i="1"/>
  <c r="P199" i="1"/>
  <c r="Q199" i="1"/>
  <c r="R199" i="1" s="1"/>
  <c r="K200" i="1"/>
  <c r="L200" i="1"/>
  <c r="M200" i="1"/>
  <c r="N200" i="1"/>
  <c r="O200" i="1"/>
  <c r="P200" i="1"/>
  <c r="Q200" i="1" s="1"/>
  <c r="R200" i="1" s="1"/>
  <c r="K201" i="1"/>
  <c r="L201" i="1"/>
  <c r="M201" i="1"/>
  <c r="N201" i="1"/>
  <c r="O201" i="1"/>
  <c r="K202" i="1"/>
  <c r="L202" i="1"/>
  <c r="M202" i="1"/>
  <c r="N202" i="1"/>
  <c r="K203" i="1"/>
  <c r="L203" i="1"/>
  <c r="M203" i="1"/>
  <c r="O203" i="1" s="1"/>
  <c r="P203" i="1" s="1"/>
  <c r="Q203" i="1" s="1"/>
  <c r="R203" i="1" s="1"/>
  <c r="N203" i="1"/>
  <c r="K204" i="1"/>
  <c r="L204" i="1"/>
  <c r="M204" i="1"/>
  <c r="N204" i="1"/>
  <c r="O204" i="1"/>
  <c r="P204" i="1" s="1"/>
  <c r="Q204" i="1"/>
  <c r="R204" i="1"/>
  <c r="K205" i="1"/>
  <c r="L205" i="1"/>
  <c r="M205" i="1"/>
  <c r="O205" i="1" s="1"/>
  <c r="P205" i="1" s="1"/>
  <c r="Q205" i="1" s="1"/>
  <c r="R205" i="1" s="1"/>
  <c r="N205" i="1"/>
  <c r="K206" i="1"/>
  <c r="L206" i="1"/>
  <c r="M206" i="1"/>
  <c r="N206" i="1"/>
  <c r="O206" i="1"/>
  <c r="P206" i="1" s="1"/>
  <c r="Q206" i="1" s="1"/>
  <c r="R206" i="1" s="1"/>
  <c r="K207" i="1"/>
  <c r="L207" i="1"/>
  <c r="M207" i="1"/>
  <c r="N207" i="1"/>
  <c r="O207" i="1"/>
  <c r="P207" i="1"/>
  <c r="Q207" i="1" s="1"/>
  <c r="R207" i="1" s="1"/>
  <c r="K208" i="1"/>
  <c r="L208" i="1"/>
  <c r="M208" i="1"/>
  <c r="O208" i="1" s="1"/>
  <c r="N208" i="1"/>
  <c r="K209" i="1"/>
  <c r="L209" i="1"/>
  <c r="M209" i="1"/>
  <c r="O209" i="1" s="1"/>
  <c r="N209" i="1"/>
  <c r="K210" i="1"/>
  <c r="L210" i="1"/>
  <c r="M210" i="1"/>
  <c r="N210" i="1"/>
  <c r="O210" i="1"/>
  <c r="P210" i="1"/>
  <c r="Q210" i="1" s="1"/>
  <c r="R210" i="1" s="1"/>
  <c r="K211" i="1"/>
  <c r="L211" i="1"/>
  <c r="M211" i="1"/>
  <c r="N211" i="1"/>
  <c r="O211" i="1"/>
  <c r="P211" i="1" s="1"/>
  <c r="Q211" i="1" s="1"/>
  <c r="R211" i="1" s="1"/>
  <c r="K212" i="1"/>
  <c r="L212" i="1"/>
  <c r="M212" i="1"/>
  <c r="N212" i="1"/>
  <c r="P212" i="1" s="1"/>
  <c r="Q212" i="1" s="1"/>
  <c r="R212" i="1" s="1"/>
  <c r="O212" i="1"/>
  <c r="K213" i="1"/>
  <c r="L213" i="1"/>
  <c r="M213" i="1"/>
  <c r="N213" i="1"/>
  <c r="O213" i="1"/>
  <c r="P213" i="1"/>
  <c r="Q213" i="1"/>
  <c r="R213" i="1" s="1"/>
  <c r="K214" i="1"/>
  <c r="L214" i="1"/>
  <c r="M214" i="1"/>
  <c r="O214" i="1" s="1"/>
  <c r="N214" i="1"/>
  <c r="K215" i="1"/>
  <c r="L215" i="1"/>
  <c r="M215" i="1"/>
  <c r="N215" i="1"/>
  <c r="O215" i="1" s="1"/>
  <c r="K216" i="1"/>
  <c r="L216" i="1"/>
  <c r="M216" i="1"/>
  <c r="N216" i="1"/>
  <c r="K217" i="1"/>
  <c r="L217" i="1"/>
  <c r="M217" i="1"/>
  <c r="N217" i="1"/>
  <c r="O217" i="1"/>
  <c r="P217" i="1"/>
  <c r="Q217" i="1"/>
  <c r="R217" i="1"/>
  <c r="K218" i="1"/>
  <c r="L218" i="1"/>
  <c r="M218" i="1"/>
  <c r="N218" i="1"/>
  <c r="P218" i="1" s="1"/>
  <c r="O218" i="1"/>
  <c r="Q218" i="1"/>
  <c r="R218" i="1"/>
  <c r="K219" i="1"/>
  <c r="L219" i="1"/>
  <c r="M219" i="1"/>
  <c r="N219" i="1"/>
  <c r="O219" i="1"/>
  <c r="P219" i="1"/>
  <c r="Q219" i="1" s="1"/>
  <c r="R219" i="1" s="1"/>
  <c r="K220" i="1"/>
  <c r="L220" i="1"/>
  <c r="M220" i="1"/>
  <c r="N220" i="1"/>
  <c r="O220" i="1"/>
  <c r="P220" i="1"/>
  <c r="Q220" i="1" s="1"/>
  <c r="R220" i="1" s="1"/>
  <c r="K221" i="1"/>
  <c r="L221" i="1"/>
  <c r="M221" i="1"/>
  <c r="N221" i="1"/>
  <c r="O221" i="1"/>
  <c r="P221" i="1" s="1"/>
  <c r="Q221" i="1" s="1"/>
  <c r="R221" i="1" s="1"/>
  <c r="B6" i="3"/>
  <c r="B4" i="3"/>
  <c r="B2" i="3"/>
  <c r="K2" i="1"/>
  <c r="N2" i="1"/>
  <c r="M2" i="1"/>
  <c r="O2" i="1" s="1"/>
  <c r="L2" i="1"/>
  <c r="P214" i="1" l="1"/>
  <c r="Q214" i="1" s="1"/>
  <c r="R214" i="1" s="1"/>
  <c r="P137" i="1"/>
  <c r="Q137" i="1" s="1"/>
  <c r="R137" i="1" s="1"/>
  <c r="P74" i="1"/>
  <c r="Q74" i="1" s="1"/>
  <c r="R74" i="1" s="1"/>
  <c r="P46" i="1"/>
  <c r="Q46" i="1" s="1"/>
  <c r="R46" i="1" s="1"/>
  <c r="P100" i="1"/>
  <c r="Q100" i="1" s="1"/>
  <c r="R100" i="1" s="1"/>
  <c r="O153" i="1"/>
  <c r="P153" i="1" s="1"/>
  <c r="Q153" i="1" s="1"/>
  <c r="R153" i="1" s="1"/>
  <c r="P47" i="1"/>
  <c r="Q47" i="1" s="1"/>
  <c r="R47" i="1" s="1"/>
  <c r="P125" i="1"/>
  <c r="Q125" i="1" s="1"/>
  <c r="R125" i="1" s="1"/>
  <c r="O174" i="1"/>
  <c r="P174" i="1" s="1"/>
  <c r="Q174" i="1" s="1"/>
  <c r="R174" i="1" s="1"/>
  <c r="B1" i="3"/>
  <c r="P180" i="1"/>
  <c r="Q180" i="1" s="1"/>
  <c r="R180" i="1" s="1"/>
  <c r="O146" i="1"/>
  <c r="P146" i="1" s="1"/>
  <c r="Q146" i="1" s="1"/>
  <c r="R146" i="1" s="1"/>
  <c r="P131" i="1"/>
  <c r="Q131" i="1" s="1"/>
  <c r="R131" i="1" s="1"/>
  <c r="O97" i="1"/>
  <c r="P82" i="1"/>
  <c r="Q82" i="1" s="1"/>
  <c r="R82" i="1" s="1"/>
  <c r="O69" i="1"/>
  <c r="P33" i="1"/>
  <c r="Q33" i="1" s="1"/>
  <c r="R33" i="1" s="1"/>
  <c r="P13" i="1"/>
  <c r="Q13" i="1" s="1"/>
  <c r="R13" i="1" s="1"/>
  <c r="O104" i="1"/>
  <c r="P104" i="1" s="1"/>
  <c r="Q104" i="1" s="1"/>
  <c r="R104" i="1" s="1"/>
  <c r="P40" i="1"/>
  <c r="Q40" i="1" s="1"/>
  <c r="R40" i="1" s="1"/>
  <c r="P209" i="1"/>
  <c r="Q209" i="1" s="1"/>
  <c r="R209" i="1" s="1"/>
  <c r="P167" i="1"/>
  <c r="Q167" i="1" s="1"/>
  <c r="R167" i="1" s="1"/>
  <c r="P135" i="1"/>
  <c r="Q135" i="1" s="1"/>
  <c r="R135" i="1" s="1"/>
  <c r="P118" i="1"/>
  <c r="Q118" i="1" s="1"/>
  <c r="R118" i="1" s="1"/>
  <c r="P86" i="1"/>
  <c r="Q86" i="1" s="1"/>
  <c r="R86" i="1" s="1"/>
  <c r="P44" i="1"/>
  <c r="Q44" i="1" s="1"/>
  <c r="R44" i="1" s="1"/>
  <c r="O13" i="1"/>
  <c r="P6" i="1"/>
  <c r="Q6" i="1" s="1"/>
  <c r="R6" i="1" s="1"/>
  <c r="P187" i="1"/>
  <c r="Q187" i="1" s="1"/>
  <c r="R187" i="1" s="1"/>
  <c r="P138" i="1"/>
  <c r="Q138" i="1" s="1"/>
  <c r="R138" i="1" s="1"/>
  <c r="O216" i="1"/>
  <c r="P216" i="1" s="1"/>
  <c r="Q216" i="1" s="1"/>
  <c r="R216" i="1" s="1"/>
  <c r="O195" i="1"/>
  <c r="P195" i="1" s="1"/>
  <c r="Q195" i="1" s="1"/>
  <c r="R195" i="1" s="1"/>
  <c r="P97" i="1"/>
  <c r="Q97" i="1" s="1"/>
  <c r="R97" i="1" s="1"/>
  <c r="O20" i="1"/>
  <c r="P20" i="1" s="1"/>
  <c r="Q20" i="1" s="1"/>
  <c r="R20" i="1" s="1"/>
  <c r="P188" i="1"/>
  <c r="Q188" i="1" s="1"/>
  <c r="R188" i="1" s="1"/>
  <c r="P152" i="1"/>
  <c r="Q152" i="1" s="1"/>
  <c r="R152" i="1" s="1"/>
  <c r="P103" i="1"/>
  <c r="Q103" i="1" s="1"/>
  <c r="R103" i="1" s="1"/>
  <c r="O62" i="1"/>
  <c r="P62" i="1" s="1"/>
  <c r="Q62" i="1" s="1"/>
  <c r="R62" i="1" s="1"/>
  <c r="P55" i="1"/>
  <c r="Q55" i="1" s="1"/>
  <c r="R55" i="1" s="1"/>
  <c r="P26" i="1"/>
  <c r="Q26" i="1" s="1"/>
  <c r="R26" i="1" s="1"/>
  <c r="B7" i="3" a="1"/>
  <c r="B7" i="3" s="1"/>
  <c r="O125" i="1"/>
  <c r="P69" i="1"/>
  <c r="Q69" i="1" s="1"/>
  <c r="R69" i="1" s="1"/>
  <c r="O188" i="1"/>
  <c r="P90" i="1"/>
  <c r="Q90" i="1" s="1"/>
  <c r="R90" i="1" s="1"/>
  <c r="P75" i="1"/>
  <c r="Q75" i="1" s="1"/>
  <c r="R75" i="1" s="1"/>
  <c r="P27" i="1"/>
  <c r="Q27" i="1" s="1"/>
  <c r="R27" i="1" s="1"/>
  <c r="P110" i="1"/>
  <c r="Q110" i="1" s="1"/>
  <c r="R110" i="1" s="1"/>
  <c r="P19" i="1"/>
  <c r="Q19" i="1" s="1"/>
  <c r="R19" i="1" s="1"/>
  <c r="G3" i="3" a="1"/>
  <c r="G3" i="3" s="1"/>
  <c r="P194" i="1"/>
  <c r="Q194" i="1" s="1"/>
  <c r="R194" i="1" s="1"/>
  <c r="P111" i="1"/>
  <c r="Q111" i="1" s="1"/>
  <c r="R111" i="1" s="1"/>
  <c r="P68" i="1"/>
  <c r="Q68" i="1" s="1"/>
  <c r="R68" i="1" s="1"/>
  <c r="O48" i="1"/>
  <c r="P48" i="1" s="1"/>
  <c r="Q48" i="1" s="1"/>
  <c r="R48" i="1" s="1"/>
  <c r="P76" i="1"/>
  <c r="Q76" i="1" s="1"/>
  <c r="R76" i="1" s="1"/>
  <c r="P201" i="1"/>
  <c r="Q201" i="1" s="1"/>
  <c r="R201" i="1" s="1"/>
  <c r="O139" i="1"/>
  <c r="P139" i="1" s="1"/>
  <c r="Q139" i="1" s="1"/>
  <c r="R139" i="1" s="1"/>
  <c r="O160" i="1"/>
  <c r="P160" i="1" s="1"/>
  <c r="Q160" i="1" s="1"/>
  <c r="R160" i="1" s="1"/>
  <c r="P145" i="1"/>
  <c r="Q145" i="1" s="1"/>
  <c r="R145" i="1" s="1"/>
  <c r="O111" i="1"/>
  <c r="P96" i="1"/>
  <c r="Q96" i="1" s="1"/>
  <c r="R96" i="1" s="1"/>
  <c r="P12" i="1"/>
  <c r="Q12" i="1" s="1"/>
  <c r="R12" i="1" s="1"/>
  <c r="P89" i="1"/>
  <c r="Q89" i="1" s="1"/>
  <c r="R89" i="1" s="1"/>
  <c r="O27" i="1"/>
  <c r="P124" i="1"/>
  <c r="Q124" i="1" s="1"/>
  <c r="R124" i="1" s="1"/>
  <c r="O202" i="1"/>
  <c r="P202" i="1" s="1"/>
  <c r="Q202" i="1" s="1"/>
  <c r="R202" i="1" s="1"/>
  <c r="P61" i="1"/>
  <c r="Q61" i="1" s="1"/>
  <c r="R61" i="1" s="1"/>
  <c r="O41" i="1"/>
  <c r="P41" i="1" s="1"/>
  <c r="Q41" i="1" s="1"/>
  <c r="R41" i="1" s="1"/>
  <c r="P23" i="1"/>
  <c r="Q23" i="1" s="1"/>
  <c r="R23" i="1" s="1"/>
  <c r="P5" i="1"/>
  <c r="Q5" i="1" s="1"/>
  <c r="R5" i="1" s="1"/>
  <c r="P159" i="1"/>
  <c r="Q159" i="1" s="1"/>
  <c r="R159" i="1" s="1"/>
  <c r="O76" i="1"/>
  <c r="P215" i="1"/>
  <c r="Q215" i="1" s="1"/>
  <c r="R215" i="1" s="1"/>
  <c r="P173" i="1"/>
  <c r="Q173" i="1" s="1"/>
  <c r="R173" i="1" s="1"/>
  <c r="O90" i="1"/>
  <c r="P208" i="1"/>
  <c r="Q208" i="1" s="1"/>
  <c r="R208" i="1" s="1"/>
  <c r="O181" i="1"/>
  <c r="P181" i="1" s="1"/>
  <c r="Q181" i="1" s="1"/>
  <c r="R181" i="1" s="1"/>
  <c r="P166" i="1"/>
  <c r="Q166" i="1" s="1"/>
  <c r="R166" i="1" s="1"/>
  <c r="O132" i="1"/>
  <c r="P132" i="1" s="1"/>
  <c r="Q132" i="1" s="1"/>
  <c r="R132" i="1" s="1"/>
  <c r="P117" i="1"/>
  <c r="Q117" i="1" s="1"/>
  <c r="R117" i="1" s="1"/>
  <c r="O83" i="1"/>
  <c r="P83" i="1" s="1"/>
  <c r="Q83" i="1" s="1"/>
  <c r="R83" i="1" s="1"/>
  <c r="P54" i="1"/>
  <c r="Q54" i="1" s="1"/>
  <c r="R54" i="1" s="1"/>
  <c r="P34" i="1"/>
  <c r="Q34" i="1" s="1"/>
  <c r="R34" i="1" s="1"/>
  <c r="P2" i="1"/>
  <c r="Q2" i="1" s="1"/>
  <c r="B3" i="3" l="1"/>
  <c r="B5" i="3"/>
  <c r="R2" i="1"/>
  <c r="Q225" i="1"/>
  <c r="Q224" i="1"/>
  <c r="Q222" i="1"/>
  <c r="Q223" i="1" s="1"/>
  <c r="R222" i="1" l="1"/>
  <c r="R224" i="1"/>
  <c r="R225" i="1"/>
  <c r="R22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<sst xmlns="http://schemas.openxmlformats.org/spreadsheetml/2006/main" count="1442" uniqueCount="538">
  <si>
    <t>ID Pesanan</t>
  </si>
  <si>
    <t>Tanggal Pesanan</t>
  </si>
  <si>
    <t>Wilayah</t>
  </si>
  <si>
    <t>Kota</t>
  </si>
  <si>
    <t>Nama Sales</t>
  </si>
  <si>
    <t>Kategori Produk</t>
  </si>
  <si>
    <t>Nama Produk</t>
  </si>
  <si>
    <t>Unit Terjual</t>
  </si>
  <si>
    <t>Harga Satuan</t>
  </si>
  <si>
    <t>Diskon (%)</t>
  </si>
  <si>
    <t>Metode Pembayaran</t>
  </si>
  <si>
    <t>Tipe Pelanggan</t>
  </si>
  <si>
    <t>Kalimantan</t>
  </si>
  <si>
    <t>Balikpapan</t>
  </si>
  <si>
    <t>Furnitur</t>
  </si>
  <si>
    <t>Meja Berdiri (Standing Desk)</t>
  </si>
  <si>
    <t>Elektronik</t>
  </si>
  <si>
    <t>Mouse Wireless</t>
  </si>
  <si>
    <t>Jawa</t>
  </si>
  <si>
    <t>Jakarta</t>
  </si>
  <si>
    <t>Alat Tulis Kantor</t>
  </si>
  <si>
    <t>Organizer Meja</t>
  </si>
  <si>
    <t>Sumatera</t>
  </si>
  <si>
    <t>Medan</t>
  </si>
  <si>
    <t>Webcam HD</t>
  </si>
  <si>
    <t>Sulawesi</t>
  </si>
  <si>
    <t>Manado</t>
  </si>
  <si>
    <t>Pakaian</t>
  </si>
  <si>
    <t>Hoodie Branded</t>
  </si>
  <si>
    <t>Palembang</t>
  </si>
  <si>
    <t>Kaos Perusahaan</t>
  </si>
  <si>
    <t>Surabaya</t>
  </si>
  <si>
    <t>Speaker Bluetooth</t>
  </si>
  <si>
    <t>Banjarmasin</t>
  </si>
  <si>
    <t>Rak Buku</t>
  </si>
  <si>
    <t>Lemari Arsip</t>
  </si>
  <si>
    <t>Standing Laptop</t>
  </si>
  <si>
    <t>Makassar</t>
  </si>
  <si>
    <t>Kertas A4 (1 Rim)</t>
  </si>
  <si>
    <t>Kursi Kantor</t>
  </si>
  <si>
    <t>Bandung</t>
  </si>
  <si>
    <t>Spidol Whiteboard</t>
  </si>
  <si>
    <t>Stapler</t>
  </si>
  <si>
    <t>Topi</t>
  </si>
  <si>
    <t>USB-C Hub</t>
  </si>
  <si>
    <t>Sticky Notes</t>
  </si>
  <si>
    <t>Kartu Kredit</t>
  </si>
  <si>
    <t>QRIS</t>
  </si>
  <si>
    <t>Kartu Debit</t>
  </si>
  <si>
    <t>Transfer Bank</t>
  </si>
  <si>
    <t>Tunai</t>
  </si>
  <si>
    <t>Baru</t>
  </si>
  <si>
    <t>Lama</t>
  </si>
  <si>
    <t>D</t>
  </si>
  <si>
    <t>K</t>
  </si>
  <si>
    <t>Q</t>
  </si>
  <si>
    <t>B</t>
  </si>
  <si>
    <t>T</t>
  </si>
  <si>
    <t>INV-K-BR-1122</t>
  </si>
  <si>
    <t>INV-Q-BR-1132</t>
  </si>
  <si>
    <t>INV-D-LM-1094</t>
  </si>
  <si>
    <t>INV-B-LM-1068</t>
  </si>
  <si>
    <t>INV-K-LM-1076</t>
  </si>
  <si>
    <t>INV-K-LM-1194</t>
  </si>
  <si>
    <t>INV-K-BR-1127</t>
  </si>
  <si>
    <t>INV-Q-LM-1160</t>
  </si>
  <si>
    <t>INV-D-LM-1106</t>
  </si>
  <si>
    <t>INV-T-BR-1111</t>
  </si>
  <si>
    <t>INV-D-LM-1150</t>
  </si>
  <si>
    <t>INV-D-BR-1185</t>
  </si>
  <si>
    <t>INV-T-BR-1013</t>
  </si>
  <si>
    <t>INV-B-BR-1085</t>
  </si>
  <si>
    <t>INV-Q-BR-1142</t>
  </si>
  <si>
    <t>INV-K-BR-1164</t>
  </si>
  <si>
    <t>INV-D-LM-1018</t>
  </si>
  <si>
    <t>INV-B-LM-1030</t>
  </si>
  <si>
    <t>INV-Q-LM-1092</t>
  </si>
  <si>
    <t>INV-B-LM-1135</t>
  </si>
  <si>
    <t>INV-Q-BR-1061</t>
  </si>
  <si>
    <t>INV-B-BR-1186</t>
  </si>
  <si>
    <t>INV-B-LM-1130</t>
  </si>
  <si>
    <t>INV-D-LM-1140</t>
  </si>
  <si>
    <t>INV-T-LM-1136</t>
  </si>
  <si>
    <t>INV-B-LM-1207</t>
  </si>
  <si>
    <t>INV-B-LM-1002</t>
  </si>
  <si>
    <t>INV-K-LM-1075</t>
  </si>
  <si>
    <t>INV-D-BR-1199</t>
  </si>
  <si>
    <t>INV-K-LM-1119</t>
  </si>
  <si>
    <t>INV-D-LM-1129</t>
  </si>
  <si>
    <t>INV-K-LM-1167</t>
  </si>
  <si>
    <t>INV-K-BR-1175</t>
  </si>
  <si>
    <t>INV-B-LM-1206</t>
  </si>
  <si>
    <t>INV-Q-BR-1025</t>
  </si>
  <si>
    <t>INV-B-LM-1056</t>
  </si>
  <si>
    <t>INV-Q-LM-1123</t>
  </si>
  <si>
    <t>INV-B-LM-1134</t>
  </si>
  <si>
    <t>INV-Q-LM-1040</t>
  </si>
  <si>
    <t>INV-T-LM-1125</t>
  </si>
  <si>
    <t>INV-K-LM-1149</t>
  </si>
  <si>
    <t>INV-Q-BR-1174</t>
  </si>
  <si>
    <t>INV-T-BR-1204</t>
  </si>
  <si>
    <t>INV-T-LM-1019</t>
  </si>
  <si>
    <t>INV-B-LM-1041</t>
  </si>
  <si>
    <t>INV-T-LM-1035</t>
  </si>
  <si>
    <t>INV-T-LM-1166</t>
  </si>
  <si>
    <t>INV-T-BR-1219</t>
  </si>
  <si>
    <t>INV-Q-LM-1054</t>
  </si>
  <si>
    <t>INV-Q-LM-1177</t>
  </si>
  <si>
    <t>INV-T-LM-1086</t>
  </si>
  <si>
    <t>INV-B-BR-1004</t>
  </si>
  <si>
    <t>INV-K-LM-1209</t>
  </si>
  <si>
    <t>INV-T-LM-1008</t>
  </si>
  <si>
    <t>INV-Q-LM-1070</t>
  </si>
  <si>
    <t>INV-T-LM-1028</t>
  </si>
  <si>
    <t>INV-Q-LM-1154</t>
  </si>
  <si>
    <t>INV-Q-LM-1158</t>
  </si>
  <si>
    <t>INV-T-LM-1197</t>
  </si>
  <si>
    <t>INV-B-LM-1103</t>
  </si>
  <si>
    <t>INV-T-LM-1173</t>
  </si>
  <si>
    <t>INV-Q-LM-1033</t>
  </si>
  <si>
    <t>INV-Q-BR-1023</t>
  </si>
  <si>
    <t>INV-D-BR-1044</t>
  </si>
  <si>
    <t>INV-B-BR-1021</t>
  </si>
  <si>
    <t>INV-Q-BR-1143</t>
  </si>
  <si>
    <t>INV-T-LM-1010</t>
  </si>
  <si>
    <t>INV-Q-BR-1022</t>
  </si>
  <si>
    <t>INV-B-LM-1110</t>
  </si>
  <si>
    <t>INV-B-LM-1027</t>
  </si>
  <si>
    <t>INV-B-BR-1157</t>
  </si>
  <si>
    <t>INV-K-LM-1176</t>
  </si>
  <si>
    <t>INV-D-BR-1078</t>
  </si>
  <si>
    <t>INV-Q-LM-1089</t>
  </si>
  <si>
    <t>INV-B-LM-1009</t>
  </si>
  <si>
    <t>INV-B-BR-1026</t>
  </si>
  <si>
    <t>INV-K-LM-1032</t>
  </si>
  <si>
    <t>INV-B-LM-1067</t>
  </si>
  <si>
    <t>INV-D-LM-1048</t>
  </si>
  <si>
    <t>INV-D-LM-1151</t>
  </si>
  <si>
    <t>INV-D-LM-1190</t>
  </si>
  <si>
    <t>INV-T-BR-1080</t>
  </si>
  <si>
    <t>INV-K-BR-1093</t>
  </si>
  <si>
    <t>INV-T-BR-1148</t>
  </si>
  <si>
    <t>INV-D-LM-1131</t>
  </si>
  <si>
    <t>INV-T-LM-1077</t>
  </si>
  <si>
    <t>INV-T-BR-1104</t>
  </si>
  <si>
    <t>INV-T-BR-1205</t>
  </si>
  <si>
    <t>INV-Q-LM-1114</t>
  </si>
  <si>
    <t>INV-Q-BR-1198</t>
  </si>
  <si>
    <t>INV-Q-BR-1215</t>
  </si>
  <si>
    <t>INV-K-LM-1090</t>
  </si>
  <si>
    <t>INV-Q-LM-1102</t>
  </si>
  <si>
    <t>INV-Q-BR-1079</t>
  </si>
  <si>
    <t>INV-D-LM-1088</t>
  </si>
  <si>
    <t>INV-Q-BR-1050</t>
  </si>
  <si>
    <t>INV-B-LM-1147</t>
  </si>
  <si>
    <t>INV-T-BR-1011</t>
  </si>
  <si>
    <t>INV-K-BR-1034</t>
  </si>
  <si>
    <t>INV-K-BR-1153</t>
  </si>
  <si>
    <t>INV-K-LM-1187</t>
  </si>
  <si>
    <t>INV-D-BR-1210</t>
  </si>
  <si>
    <t>INV-Q-LM-1220</t>
  </si>
  <si>
    <t>INV-Q-LM-1066</t>
  </si>
  <si>
    <t>INV-B-BR-1137</t>
  </si>
  <si>
    <t>INV-T-BR-1046</t>
  </si>
  <si>
    <t>INV-K-BR-1109</t>
  </si>
  <si>
    <t>INV-B-LM-1039</t>
  </si>
  <si>
    <t>INV-D-LM-1060</t>
  </si>
  <si>
    <t>INV-Q-LM-1096</t>
  </si>
  <si>
    <t>INV-D-LM-1145</t>
  </si>
  <si>
    <t>INV-K-LM-1024</t>
  </si>
  <si>
    <t>INV-K-BR-1042</t>
  </si>
  <si>
    <t>INV-D-LM-1184</t>
  </si>
  <si>
    <t>INV-Q-BR-1188</t>
  </si>
  <si>
    <t>INV-B-LM-1195</t>
  </si>
  <si>
    <t>INV-K-LM-1200</t>
  </si>
  <si>
    <t>INV-T-LM-1049</t>
  </si>
  <si>
    <t>INV-Q-BR-1216</t>
  </si>
  <si>
    <t>INV-D-LM-1172</t>
  </si>
  <si>
    <t>INV-B-LM-1006</t>
  </si>
  <si>
    <t>INV-B-LM-1005</t>
  </si>
  <si>
    <t>INV-B-BR-1116</t>
  </si>
  <si>
    <t>INV-B-BR-1152</t>
  </si>
  <si>
    <t>INV-Q-BR-1062</t>
  </si>
  <si>
    <t>INV-B-LM-1071</t>
  </si>
  <si>
    <t>INV-T-LM-1045</t>
  </si>
  <si>
    <t>INV-Q-LM-1101</t>
  </si>
  <si>
    <t>INV-B-LM-1108</t>
  </si>
  <si>
    <t>INV-Q-BR-1043</t>
  </si>
  <si>
    <t>INV-D-BR-1112</t>
  </si>
  <si>
    <t>INV-B-LM-1055</t>
  </si>
  <si>
    <t>INV-Q-LM-1139</t>
  </si>
  <si>
    <t>INV-T-LM-1182</t>
  </si>
  <si>
    <t>INV-K-BR-1063</t>
  </si>
  <si>
    <t>INV-D-BR-1073</t>
  </si>
  <si>
    <t>INV-K-LM-1126</t>
  </si>
  <si>
    <t>INV-K-BR-1058</t>
  </si>
  <si>
    <t>INV-D-LM-1047</t>
  </si>
  <si>
    <t>INV-T-LM-1163</t>
  </si>
  <si>
    <t>INV-T-LM-1189</t>
  </si>
  <si>
    <t>INV-Q-BR-1159</t>
  </si>
  <si>
    <t>INV-Q-BR-1162</t>
  </si>
  <si>
    <t>INV-K-LM-1015</t>
  </si>
  <si>
    <t>INV-T-LM-1057</t>
  </si>
  <si>
    <t>INV-Q-LM-1214</t>
  </si>
  <si>
    <t>INV-B-LM-1161</t>
  </si>
  <si>
    <t>INV-D-BR-1014</t>
  </si>
  <si>
    <t>INV-Q-BR-1121</t>
  </si>
  <si>
    <t>INV-Q-BR-1211</t>
  </si>
  <si>
    <t>INV-Q-LM-1095</t>
  </si>
  <si>
    <t>INV-B-LM-1168</t>
  </si>
  <si>
    <t>INV-Q-LM-1099</t>
  </si>
  <si>
    <t>INV-Q-LM-1113</t>
  </si>
  <si>
    <t>INV-B-LM-1208</t>
  </si>
  <si>
    <t>INV-T-LM-1213</t>
  </si>
  <si>
    <t>INV-D-BR-1107</t>
  </si>
  <si>
    <t>INV-B-BR-1038</t>
  </si>
  <si>
    <t>INV-D-BR-1169</t>
  </si>
  <si>
    <t>INV-K-BR-1217</t>
  </si>
  <si>
    <t>INV-T-BR-1031</t>
  </si>
  <si>
    <t>INV-D-LM-1156</t>
  </si>
  <si>
    <t>INV-T-LM-1098</t>
  </si>
  <si>
    <t>INV-K-BR-1059</t>
  </si>
  <si>
    <t>INV-D-BR-1074</t>
  </si>
  <si>
    <t>INV-T-BR-1133</t>
  </si>
  <si>
    <t>INV-B-LM-1155</t>
  </si>
  <si>
    <t>INV-Q-BR-1202</t>
  </si>
  <si>
    <t>INV-B-LM-1120</t>
  </si>
  <si>
    <t>INV-Q-BR-1179</t>
  </si>
  <si>
    <t>INV-B-LM-1012</t>
  </si>
  <si>
    <t>INV-Q-BR-1105</t>
  </si>
  <si>
    <t>INV-Q-LM-1128</t>
  </si>
  <si>
    <t>INV-Q-BR-1191</t>
  </si>
  <si>
    <t>INV-Q-BR-1097</t>
  </si>
  <si>
    <t>INV-K-LM-1037</t>
  </si>
  <si>
    <t>INV-B-BR-1183</t>
  </si>
  <si>
    <t>INV-Q-BR-1201</t>
  </si>
  <si>
    <t>INV-Q-LM-1141</t>
  </si>
  <si>
    <t>INV-B-BR-1218</t>
  </si>
  <si>
    <t>INV-B-LM-1003</t>
  </si>
  <si>
    <t>INV-K-LM-1144</t>
  </si>
  <si>
    <t>INV-B-LM-1069</t>
  </si>
  <si>
    <t>INV-B-LM-1072</t>
  </si>
  <si>
    <t>INV-B-LM-1196</t>
  </si>
  <si>
    <t>INV-T-BR-1181</t>
  </si>
  <si>
    <t>INV-Q-BR-1065</t>
  </si>
  <si>
    <t>INV-B-BR-1082</t>
  </si>
  <si>
    <t>INV-Q-LM-1087</t>
  </si>
  <si>
    <t>INV-D-LM-1017</t>
  </si>
  <si>
    <t>INV-K-LM-1192</t>
  </si>
  <si>
    <t>INV-D-LM-1052</t>
  </si>
  <si>
    <t>INV-K-BR-1117</t>
  </si>
  <si>
    <t>INV-D-LM-1171</t>
  </si>
  <si>
    <t>INV-T-BR-1178</t>
  </si>
  <si>
    <t>INV-D-LM-1193</t>
  </si>
  <si>
    <t>INV-D-BR-1212</t>
  </si>
  <si>
    <t>INV-B-LM-1091</t>
  </si>
  <si>
    <t>INV-K-BR-1146</t>
  </si>
  <si>
    <t>INV-T-LM-1001</t>
  </si>
  <si>
    <t>INV-B-LM-1016</t>
  </si>
  <si>
    <t>INV-D-LM-1084</t>
  </si>
  <si>
    <t>INV-T-BR-1180</t>
  </si>
  <si>
    <t>INV-Q-LM-1138</t>
  </si>
  <si>
    <t>INV-D-BR-1053</t>
  </si>
  <si>
    <t>INV-Q-LM-1165</t>
  </si>
  <si>
    <t>INV-K-BR-1007</t>
  </si>
  <si>
    <t>INV-T-LM-1029</t>
  </si>
  <si>
    <t>INV-Q-BR-1064</t>
  </si>
  <si>
    <t>INV-T-BR-1051</t>
  </si>
  <si>
    <t>INV-D-LM-1118</t>
  </si>
  <si>
    <t>INV-B-LM-1203</t>
  </si>
  <si>
    <t>INV-D-LM-1020</t>
  </si>
  <si>
    <t>INV-T-LM-1081</t>
  </si>
  <si>
    <t>INV-D-LM-1115</t>
  </si>
  <si>
    <t>INV-Q-LM-1170</t>
  </si>
  <si>
    <t>INV-T-LM-1100</t>
  </si>
  <si>
    <t>INV-Q-BR-1124</t>
  </si>
  <si>
    <t>INV-B-BR-1036</t>
  </si>
  <si>
    <t>INV-D-LM-1083</t>
  </si>
  <si>
    <t>Biaya Satuan</t>
  </si>
  <si>
    <t>Total Penjualan</t>
  </si>
  <si>
    <t>Profit</t>
  </si>
  <si>
    <t>Kode Pembayaran</t>
  </si>
  <si>
    <t>Biaya Admin</t>
  </si>
  <si>
    <t>Total Pembelian</t>
  </si>
  <si>
    <t>Diskon</t>
  </si>
  <si>
    <t>HEsTI WUlANDARI</t>
  </si>
  <si>
    <t>FiTri HandAYaNI</t>
  </si>
  <si>
    <t>aNdi SaPuTra</t>
  </si>
  <si>
    <t>ANDI SAPutra</t>
  </si>
  <si>
    <t>CitRa DEWi</t>
  </si>
  <si>
    <t>anDi SAputRA</t>
  </si>
  <si>
    <t>hEsti wULandaRI</t>
  </si>
  <si>
    <t>eKO PRaSetyo</t>
  </si>
  <si>
    <t>GIlaNg RaMaDHaN</t>
  </si>
  <si>
    <t>EkO prASetYO</t>
  </si>
  <si>
    <t>ANDi SApUtrA</t>
  </si>
  <si>
    <t>Citra DEWI</t>
  </si>
  <si>
    <t>cITRA DEWI</t>
  </si>
  <si>
    <t>bUDi SAnTosO</t>
  </si>
  <si>
    <t>FItri hANDayANI</t>
  </si>
  <si>
    <t>FiTrI hANdAYANI</t>
  </si>
  <si>
    <t>Budi sANtOso</t>
  </si>
  <si>
    <t>andi SaPUTrA</t>
  </si>
  <si>
    <t>EkO PRASEtYO</t>
  </si>
  <si>
    <t>GIlanG RamAdhaN</t>
  </si>
  <si>
    <t>FiTRI HaNDayAni</t>
  </si>
  <si>
    <t>EkO pRASetYo</t>
  </si>
  <si>
    <t>Dewi LesTArI</t>
  </si>
  <si>
    <t>bUdi SANToSO</t>
  </si>
  <si>
    <t>BUdi sANTosO</t>
  </si>
  <si>
    <t>EKO PRasEtYO</t>
  </si>
  <si>
    <t>aNdI sapUTRA</t>
  </si>
  <si>
    <t>dewI lesTArI</t>
  </si>
  <si>
    <t>bUDi saNtOsO</t>
  </si>
  <si>
    <t>gILanG rAmadhan</t>
  </si>
  <si>
    <t>ANdi saPutRa</t>
  </si>
  <si>
    <t>andi sAPutRA</t>
  </si>
  <si>
    <t>fITRI HaNdaYani</t>
  </si>
  <si>
    <t>CITRa DeWI</t>
  </si>
  <si>
    <t>DeWi lesTari</t>
  </si>
  <si>
    <t>CitRa DeWi</t>
  </si>
  <si>
    <t>anDI SaPUTra</t>
  </si>
  <si>
    <t>andI saPutRa</t>
  </si>
  <si>
    <t>citRa dewI</t>
  </si>
  <si>
    <t>citRa DeWI</t>
  </si>
  <si>
    <t>bUdI sanToso</t>
  </si>
  <si>
    <t>citrA DEwI</t>
  </si>
  <si>
    <t>CITRA DEWi</t>
  </si>
  <si>
    <t>EKo pRASeTYo</t>
  </si>
  <si>
    <t>fiTRI hANdayAnI</t>
  </si>
  <si>
    <t>deWi lEsTari</t>
  </si>
  <si>
    <t>gilANg RamaDhaN</t>
  </si>
  <si>
    <t>hEsti wULANdaRi</t>
  </si>
  <si>
    <t>deWI LeStari</t>
  </si>
  <si>
    <t>eko praSETyO</t>
  </si>
  <si>
    <t>BUDi sANtOsO</t>
  </si>
  <si>
    <t>eKO PRaSeTYo</t>
  </si>
  <si>
    <t>hestI wuLAndARI</t>
  </si>
  <si>
    <t>DeWI lEstari</t>
  </si>
  <si>
    <t>aNDI sAPUTRA</t>
  </si>
  <si>
    <t>GilanG ramADhAn</t>
  </si>
  <si>
    <t>BUDi SANtosO</t>
  </si>
  <si>
    <t>hesti WUlanDARI</t>
  </si>
  <si>
    <t>bUDi sAntOso</t>
  </si>
  <si>
    <t>eko PrasetYo</t>
  </si>
  <si>
    <t>Andi sApuTRa</t>
  </si>
  <si>
    <t>ekO pRaseTYO</t>
  </si>
  <si>
    <t>DeWi LEsTAri</t>
  </si>
  <si>
    <t>fitrI HaNDAyani</t>
  </si>
  <si>
    <t>Andi saputra</t>
  </si>
  <si>
    <t>FItRi handAyANi</t>
  </si>
  <si>
    <t>GiLaNG RAmadhAn</t>
  </si>
  <si>
    <t>fitRI hANdAYaNi</t>
  </si>
  <si>
    <t>BUdI sanTOsO</t>
  </si>
  <si>
    <t>HEStI WUlandAri</t>
  </si>
  <si>
    <t>EKo praseTyo</t>
  </si>
  <si>
    <t>FItri HanDAyaNi</t>
  </si>
  <si>
    <t>HEsTI wuLaNDari</t>
  </si>
  <si>
    <t>CITra dewi</t>
  </si>
  <si>
    <t>GiLANg RaMaDhan</t>
  </si>
  <si>
    <t>buDI SaNToso</t>
  </si>
  <si>
    <t>BUDI sANTOso</t>
  </si>
  <si>
    <t>anDi sapUtRa</t>
  </si>
  <si>
    <t>gIlAng raMAdHAN</t>
  </si>
  <si>
    <t>BuDI SANToSO</t>
  </si>
  <si>
    <t>gILaNG RAmAdHAn</t>
  </si>
  <si>
    <t>DEwI lesTaRI</t>
  </si>
  <si>
    <t>buDI saNtoSO</t>
  </si>
  <si>
    <t>hESTi wulaNDAri</t>
  </si>
  <si>
    <t>Eko prAsetyo</t>
  </si>
  <si>
    <t>DeWI LeStARi</t>
  </si>
  <si>
    <t>Citra deWI</t>
  </si>
  <si>
    <t>DeWI lEsTaRi</t>
  </si>
  <si>
    <t>HEsti WULaNDARI</t>
  </si>
  <si>
    <t>budi sanTOSO</t>
  </si>
  <si>
    <t>GIlang raMAdhAn</t>
  </si>
  <si>
    <t>ekO pRASeTYo</t>
  </si>
  <si>
    <t>heSTi WUlAnDaRi</t>
  </si>
  <si>
    <t>FiTri haNdAyAni</t>
  </si>
  <si>
    <t>BuDI sAntoSo</t>
  </si>
  <si>
    <t>GILAng RAMaDHAN</t>
  </si>
  <si>
    <t>Andi sApUtra</t>
  </si>
  <si>
    <t>gIlAng RAmaDHan</t>
  </si>
  <si>
    <t>HeSti WuLaNDARi</t>
  </si>
  <si>
    <t>gIlang rAmAdHan</t>
  </si>
  <si>
    <t>hEsTI wuLAndaRI</t>
  </si>
  <si>
    <t>ciTra DewI</t>
  </si>
  <si>
    <t>EKO pRAsEtYO</t>
  </si>
  <si>
    <t>FItRi HandAYanI</t>
  </si>
  <si>
    <t>hesti WULaNdaRI</t>
  </si>
  <si>
    <t>eKO pRaSEtyO</t>
  </si>
  <si>
    <t>hEstI WuLAnDaRI</t>
  </si>
  <si>
    <t>CItRa dEWI</t>
  </si>
  <si>
    <t>ciTRa DEwi</t>
  </si>
  <si>
    <t>CiTrA dEWi</t>
  </si>
  <si>
    <t>hEsti wUlANdARi</t>
  </si>
  <si>
    <t>dEwi LEsTaRI</t>
  </si>
  <si>
    <t>DEwi leSTarI</t>
  </si>
  <si>
    <t>fiTri hanDayanI</t>
  </si>
  <si>
    <t>cItRa DEwi</t>
  </si>
  <si>
    <t>dewI leStarI</t>
  </si>
  <si>
    <t>FitRI hANDAyanI</t>
  </si>
  <si>
    <t>Andi SAputrA</t>
  </si>
  <si>
    <t>EKO pRaseTyo</t>
  </si>
  <si>
    <t>EKO pRaSetYo</t>
  </si>
  <si>
    <t>fITrI HANdAyanI</t>
  </si>
  <si>
    <t>EKo praSEtYo</t>
  </si>
  <si>
    <t>buDI sANToSO</t>
  </si>
  <si>
    <t>gIlaNg rAmADHAn</t>
  </si>
  <si>
    <t>DEWI LeStari</t>
  </si>
  <si>
    <t>Budi SAntosO</t>
  </si>
  <si>
    <t>bUdi sAnToSo</t>
  </si>
  <si>
    <t>HesTI WulaNDarI</t>
  </si>
  <si>
    <t>Citra DEwi</t>
  </si>
  <si>
    <t>CItRA dewI</t>
  </si>
  <si>
    <t>HeSti wUlANdaRi</t>
  </si>
  <si>
    <t>giLANg raMAdHAN</t>
  </si>
  <si>
    <t>FitrI haNdayani</t>
  </si>
  <si>
    <t>DewI lEstARi</t>
  </si>
  <si>
    <t>GiLANG RamaDhAn</t>
  </si>
  <si>
    <t>bUDI sanToso</t>
  </si>
  <si>
    <t>heSTi WulAndari</t>
  </si>
  <si>
    <t>gIlanG RaMadhaN</t>
  </si>
  <si>
    <t>FitRI HANDAYani</t>
  </si>
  <si>
    <t>CITRa dEwi</t>
  </si>
  <si>
    <t>aNDI SaPUtrA</t>
  </si>
  <si>
    <t>bUDi santOso</t>
  </si>
  <si>
    <t>EKo prASetYO</t>
  </si>
  <si>
    <t>fitRi HAndAYanI</t>
  </si>
  <si>
    <t>fitrI hANDayAni</t>
  </si>
  <si>
    <t>DewI LeStari</t>
  </si>
  <si>
    <t>BUDi SANTOSo</t>
  </si>
  <si>
    <t>dEWi lEsTarI</t>
  </si>
  <si>
    <t>heSti WULanDARi</t>
  </si>
  <si>
    <t>CitRA dewi</t>
  </si>
  <si>
    <t>cITrA dEWI</t>
  </si>
  <si>
    <t>Dewi LEstArI</t>
  </si>
  <si>
    <t>HEsTI WULaNDAri</t>
  </si>
  <si>
    <t>HESTi wuLaNDari</t>
  </si>
  <si>
    <t>EKo PrasetYo</t>
  </si>
  <si>
    <t>hEsTI WuLanDaRi</t>
  </si>
  <si>
    <t>AnDi SAPutRA</t>
  </si>
  <si>
    <t>FItRi HANDaYAnI</t>
  </si>
  <si>
    <t>budi santoSo</t>
  </si>
  <si>
    <t>bUdi SANToso</t>
  </si>
  <si>
    <t>DEwI Lestari</t>
  </si>
  <si>
    <t>HeSTi WULANdARI</t>
  </si>
  <si>
    <t>EKO pRasETyO</t>
  </si>
  <si>
    <t>HesTi WULANdari</t>
  </si>
  <si>
    <t>Budi SaNTOso</t>
  </si>
  <si>
    <t>ekO PRaseTYO</t>
  </si>
  <si>
    <t>BudI sANtOSO</t>
  </si>
  <si>
    <t>eKo PrasETyO</t>
  </si>
  <si>
    <t>EkO praSetyO</t>
  </si>
  <si>
    <t>gilAnG RAMaDhAn</t>
  </si>
  <si>
    <t>fiTRI hanDAYAni</t>
  </si>
  <si>
    <t>gILAnG rAmadHAN</t>
  </si>
  <si>
    <t>bUDi saNTOso</t>
  </si>
  <si>
    <t>budI sAnToSO</t>
  </si>
  <si>
    <t>eKo praseTyo</t>
  </si>
  <si>
    <t>HesTi wuLandarI</t>
  </si>
  <si>
    <t>CITrA dEwi</t>
  </si>
  <si>
    <t>FiTrI hAndayAnI</t>
  </si>
  <si>
    <t>DEwI lesTARi</t>
  </si>
  <si>
    <t>DEwi lEsTaRi</t>
  </si>
  <si>
    <t>eKO prasEtyo</t>
  </si>
  <si>
    <t>Eko PrASEtYO</t>
  </si>
  <si>
    <t>GILang rAMadHAn</t>
  </si>
  <si>
    <t>giLANg RAmaDhAn</t>
  </si>
  <si>
    <t>eko PrasEtYO</t>
  </si>
  <si>
    <t>gILaNG RamAdHAn</t>
  </si>
  <si>
    <t>DEwi LesTaRi</t>
  </si>
  <si>
    <t>HEsti wulANDArI</t>
  </si>
  <si>
    <t>aNdI sAPutRa</t>
  </si>
  <si>
    <t>HeSTi wulAnDARi</t>
  </si>
  <si>
    <t>hESTI wuLandaRI</t>
  </si>
  <si>
    <t>dEwI LEsTarI</t>
  </si>
  <si>
    <t>dewi Lestari</t>
  </si>
  <si>
    <t>ANdi sApUtra</t>
  </si>
  <si>
    <t>anDi SAPuTRA</t>
  </si>
  <si>
    <t>ciTrA dEwI</t>
  </si>
  <si>
    <t>buDi SanToSO</t>
  </si>
  <si>
    <t>DEwI LeSTaRi</t>
  </si>
  <si>
    <t>EkO pRASetyO</t>
  </si>
  <si>
    <t>fITRI haNDayANI</t>
  </si>
  <si>
    <t>ANdi sAPuTRa</t>
  </si>
  <si>
    <t>BuDI sANtoSO</t>
  </si>
  <si>
    <t>hESti wulAnDARI</t>
  </si>
  <si>
    <t>fITRi hanDAyAnI</t>
  </si>
  <si>
    <t>BUdi saNTOSo</t>
  </si>
  <si>
    <t>BuDi SANTOso</t>
  </si>
  <si>
    <t>dEwI LEstaRi</t>
  </si>
  <si>
    <t>HestI WuLaNDARI</t>
  </si>
  <si>
    <t>GILang RAmAdHan</t>
  </si>
  <si>
    <t>aNdI SAPuTra</t>
  </si>
  <si>
    <t>ciTrA DewI</t>
  </si>
  <si>
    <t>gilANG rAMaDhAn</t>
  </si>
  <si>
    <t>dEWI lEStARI</t>
  </si>
  <si>
    <t>eko PRaSEtYO</t>
  </si>
  <si>
    <t>andi sapUTRA</t>
  </si>
  <si>
    <t>ANDI sapUtRa</t>
  </si>
  <si>
    <t>budI SaNToSO</t>
  </si>
  <si>
    <t>Eko prASetYO</t>
  </si>
  <si>
    <t>aNDI SAPUtrA</t>
  </si>
  <si>
    <t>&gt; 20 juta</t>
  </si>
  <si>
    <t>&gt; 50 juta</t>
  </si>
  <si>
    <t>Harga Setelah Diskon</t>
  </si>
  <si>
    <t>Total Bersih</t>
  </si>
  <si>
    <t>Total</t>
  </si>
  <si>
    <t>Rata-rata</t>
  </si>
  <si>
    <t>Nilai Tertinggi</t>
  </si>
  <si>
    <t>Nilai Terendah</t>
  </si>
  <si>
    <t>Profit dari masing-masing Sales:</t>
  </si>
  <si>
    <t>Nama</t>
  </si>
  <si>
    <t>Total penjualan di Pulau Jawa</t>
  </si>
  <si>
    <t>Banyak penjualan di Pulau Kalimantan</t>
  </si>
  <si>
    <t>Profit penjualan di Kota Surabaya</t>
  </si>
  <si>
    <t>Banyak penjualan di Pulau Sulawesi pada bulan Februari</t>
  </si>
  <si>
    <t>Total penjualan pada bulan April</t>
  </si>
  <si>
    <t>Banyak penjualan USB-C Hub</t>
  </si>
  <si>
    <t>Rata-rata profit penjualan Webcam HD</t>
  </si>
  <si>
    <t>Nama Sales Proper</t>
  </si>
  <si>
    <t>Row Labels</t>
  </si>
  <si>
    <t>Grand Total</t>
  </si>
  <si>
    <t>Sum of Profit</t>
  </si>
  <si>
    <t>Column Labels</t>
  </si>
  <si>
    <t>(All)</t>
  </si>
  <si>
    <t>Sum of Total Bersih</t>
  </si>
  <si>
    <t>Sum of Total Penjualan</t>
  </si>
  <si>
    <t>Months (Tanggal Pesanan)</t>
  </si>
  <si>
    <t>Andi Saputra</t>
  </si>
  <si>
    <t>Budi Santoso</t>
  </si>
  <si>
    <t>Citra Dewi</t>
  </si>
  <si>
    <t>Dewi Lestari</t>
  </si>
  <si>
    <t>Eko Prasetyo</t>
  </si>
  <si>
    <t>Fitri Handayani</t>
  </si>
  <si>
    <t>Gilang Ramadhan</t>
  </si>
  <si>
    <t>Hesti Wulandari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</si>
</sst>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Rp&quot;* #,##0_);_(&quot;Rp&quot;* \(#,##0\);_(&quot;Rp&quot;* &quot;-&quot;_);_(@_)"/>
    <numFmt numFmtId="164" formatCode="&quot;Rp&quot;\ #,##0"/>
  </numFmts>
  <fonts count="10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color theme="1"/>
      <name val="Aptos Narrow"/>
      <scheme val="minor"/>
    </font>
    <font>
      <sz val="12"/>
      <color rgb="FF1F1F1F"/>
      <name val="Arial"/>
      <family val="2"/>
    </font>
    <font>
      <b/>
      <sz val="12"/>
      <color rgb="FF1F1F1F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0">
    <xf numFmtId="0" fontId="0" fillId="0" borderId="0" xfId="0"/>
    <xf numFmtId="14" fontId="2" fillId="0" borderId="1" xfId="0" applyNumberFormat="1" applyFont="1" applyBorder="1"/>
    <xf numFmtId="0" fontId="2" fillId="0" borderId="1" xfId="0" applyFont="1" applyBorder="1"/>
    <xf numFmtId="164" fontId="2" fillId="0" borderId="1" xfId="0" applyNumberFormat="1" applyFont="1" applyBorder="1"/>
    <xf numFmtId="0" fontId="3" fillId="0" borderId="0" xfId="0" applyFont="1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164" fontId="0" fillId="0" borderId="0" xfId="0" applyNumberFormat="1"/>
    <xf numFmtId="0" fontId="6" fillId="0" borderId="0" xfId="0" applyFont="1"/>
    <xf numFmtId="0" fontId="7" fillId="0" borderId="2" xfId="0" applyFont="1" applyBorder="1" applyAlignment="1">
      <alignment horizontal="center" vertical="center"/>
    </xf>
    <xf numFmtId="0" fontId="8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42" fontId="8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0" applyNumberFormat="1" applyFont="1" applyBorder="1" applyAlignment="1">
      <alignment horizontal="center"/>
    </xf>
    <xf numFmtId="0" fontId="8" fillId="0" borderId="2" xfId="0" applyFont="1" applyBorder="1"/>
    <xf numFmtId="0" fontId="8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2" fontId="8" fillId="0" borderId="0" xfId="1" applyFont="1"/>
    <xf numFmtId="0" fontId="6" fillId="0" borderId="0" xfId="0" pivotButton="1" applyFont="1"/>
    <xf numFmtId="0" fontId="6" fillId="0" borderId="0" xfId="0" applyFont="1" applyAlignment="1">
      <alignment horizontal="left"/>
    </xf>
    <xf numFmtId="164" fontId="6" fillId="0" borderId="0" xfId="0" applyNumberFormat="1" applyFont="1"/>
    <xf numFmtId="0" fontId="6" fillId="0" borderId="0" xfId="0" applyFont="1" applyAlignment="1">
      <alignment horizontal="left" inden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right"/>
    </xf>
  </cellXfs>
  <cellStyles count="2">
    <cellStyle name="Currency [0]" xfId="1" builtinId="7"/>
    <cellStyle name="Normal" xfId="0" builtinId="0"/>
  </cellStyles>
  <dxfs count="28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1/relationships/timelineCache" Target="timelineCaches/timeline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[dataset-penjualan-finish.xlsx]Pivot3!PivotTable4</c:name>
    <c:fmtId val="8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Pivot3!$B$3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Pivot3!$A$4:$A$12</c:f>
              <c:strCache>
                <c:ptCount val="8"/>
                <c:pt idx="0">
                  <c:v>Andi Saputra</c:v>
                </c:pt>
                <c:pt idx="1">
                  <c:v>Budi Santoso</c:v>
                </c:pt>
                <c:pt idx="2">
                  <c:v>Citra Dewi</c:v>
                </c:pt>
                <c:pt idx="3">
                  <c:v>Dewi Lestari</c:v>
                </c:pt>
                <c:pt idx="4">
                  <c:v>Eko Prasetyo</c:v>
                </c:pt>
                <c:pt idx="5">
                  <c:v>Fitri Handayani</c:v>
                </c:pt>
                <c:pt idx="6">
                  <c:v>Gilang Ramadhan</c:v>
                </c:pt>
                <c:pt idx="7">
                  <c:v>Hesti Wulandari</c:v>
                </c:pt>
              </c:strCache>
            </c:strRef>
          </c:cat>
          <c:val>
            <c:numRef>
              <c:f>Pivot3!$B$4:$B$12</c:f>
              <c:numCache>
                <c:formatCode>"Rp"\ #,##0</c:formatCode>
                <c:ptCount val="8"/>
                <c:pt idx="0">
                  <c:v>134063000</c:v>
                </c:pt>
                <c:pt idx="1">
                  <c:v>103587500</c:v>
                </c:pt>
                <c:pt idx="2">
                  <c:v>165101000</c:v>
                </c:pt>
                <c:pt idx="3">
                  <c:v>138662000</c:v>
                </c:pt>
                <c:pt idx="4">
                  <c:v>125618500</c:v>
                </c:pt>
                <c:pt idx="5">
                  <c:v>88647000</c:v>
                </c:pt>
                <c:pt idx="6">
                  <c:v>117138000</c:v>
                </c:pt>
                <c:pt idx="7">
                  <c:v>142536500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F-0F40-ADB7-9A7D7C467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0330768"/>
        <c:axId val="290332480"/>
      </c:barChart>
      <c:catAx>
        <c:axId val="29033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332480"/>
        <c:crosses val="autoZero"/>
        <c:auto val="1"/>
        <c:lblAlgn val="ctr"/>
        <c:lblOffset val="100"/>
        <c:noMultiLvlLbl val="0"/>
      </c:catAx>
      <c:valAx>
        <c:axId val="29033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Rp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330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27</xdr:row>
      <xdr:rowOff>0</xdr:rowOff>
    </xdr:from>
    <xdr:to>
      <xdr:col>1</xdr:col>
      <xdr:colOff>990600</xdr:colOff>
      <xdr:row>33</xdr:row>
      <xdr:rowOff>101600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Tanggal Pesanan">
              <a:extLst>
                <a:ext uri="{FF2B5EF4-FFF2-40B4-BE49-F238E27FC236}">
                  <a16:creationId xmlns:a16="http://schemas.microsoft.com/office/drawing/2014/main" id="{D53F418A-A3D7-2F29-2D74-3322F4DC820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Tanggal Pesana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700" y="5486400"/>
              <a:ext cx="3340100" cy="1320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203200</xdr:colOff>
      <xdr:row>2</xdr:row>
      <xdr:rowOff>165100</xdr:rowOff>
    </xdr:from>
    <xdr:to>
      <xdr:col>10</xdr:col>
      <xdr:colOff>596900</xdr:colOff>
      <xdr:row>19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46473A-A22C-2E1A-32EC-CEC9C21A59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ude Maha" refreshedDate="46213.648438425924" createdVersion="8" refreshedVersion="8" minRefreshableVersion="3" recordCount="220" xr:uid="{DD706CBE-DEE3-1F42-B2A4-ACD4AB86EA94}">
  <cacheSource type="worksheet">
    <worksheetSource ref="A1:R221" sheet="Data Penjualan"/>
  </cacheSource>
  <cacheFields count="20">
    <cacheField name="ID Pesanan" numFmtId="0">
      <sharedItems/>
    </cacheField>
    <cacheField name="Tanggal Pesanan" numFmtId="14">
      <sharedItems containsSemiMixedTypes="0" containsNonDate="0" containsDate="1" containsString="0" minDate="2024-01-04T00:00:00" maxDate="2024-07-01T00:00:00" count="122">
        <d v="2024-01-04T00:00:00"/>
        <d v="2024-01-07T00:00:00"/>
        <d v="2024-01-08T00:00:00"/>
        <d v="2024-01-09T00:00:00"/>
        <d v="2024-01-10T00:00:00"/>
        <d v="2024-01-12T00:00:00"/>
        <d v="2024-01-13T00:00:00"/>
        <d v="2024-01-14T00:00:00"/>
        <d v="2024-01-15T00:00:00"/>
        <d v="2024-01-16T00:00:00"/>
        <d v="2024-01-17T00:00:00"/>
        <d v="2024-01-18T00:00:00"/>
        <d v="2024-01-21T00:00:00"/>
        <d v="2024-01-23T00:00:00"/>
        <d v="2024-01-24T00:00:00"/>
        <d v="2024-01-28T00:00:00"/>
        <d v="2024-01-29T00:00:00"/>
        <d v="2024-01-30T00:00:00"/>
        <d v="2024-02-01T00:00:00"/>
        <d v="2024-02-02T00:00:00"/>
        <d v="2024-02-03T00:00:00"/>
        <d v="2024-02-05T00:00:00"/>
        <d v="2024-02-07T00:00:00"/>
        <d v="2024-02-08T00:00:00"/>
        <d v="2024-02-10T00:00:00"/>
        <d v="2024-02-11T00:00:00"/>
        <d v="2024-02-12T00:00:00"/>
        <d v="2024-02-13T00:00:00"/>
        <d v="2024-02-15T00:00:00"/>
        <d v="2024-02-17T00:00:00"/>
        <d v="2024-02-18T00:00:00"/>
        <d v="2024-02-21T00:00:00"/>
        <d v="2024-02-22T00:00:00"/>
        <d v="2024-02-24T00:00:00"/>
        <d v="2024-02-26T00:00:00"/>
        <d v="2024-02-27T00:00:00"/>
        <d v="2024-02-28T00:00:00"/>
        <d v="2024-03-01T00:00:00"/>
        <d v="2024-03-02T00:00:00"/>
        <d v="2024-03-03T00:00:00"/>
        <d v="2024-03-04T00:00:00"/>
        <d v="2024-03-05T00:00:00"/>
        <d v="2024-03-06T00:00:00"/>
        <d v="2024-03-09T00:00:00"/>
        <d v="2024-03-10T00:00:00"/>
        <d v="2024-03-11T00:00:00"/>
        <d v="2024-03-12T00:00:00"/>
        <d v="2024-03-13T00:00:00"/>
        <d v="2024-03-14T00:00:00"/>
        <d v="2024-03-15T00:00:00"/>
        <d v="2024-03-19T00:00:00"/>
        <d v="2024-03-20T00:00:00"/>
        <d v="2024-03-21T00:00:00"/>
        <d v="2024-03-22T00:00:00"/>
        <d v="2024-03-24T00:00:00"/>
        <d v="2024-03-25T00:00:00"/>
        <d v="2024-03-26T00:00:00"/>
        <d v="2024-03-27T00:00:00"/>
        <d v="2024-03-31T00:00:00"/>
        <d v="2024-04-01T00:00:00"/>
        <d v="2024-04-02T00:00:00"/>
        <d v="2024-04-03T00:00:00"/>
        <d v="2024-04-04T00:00:00"/>
        <d v="2024-04-06T00:00:00"/>
        <d v="2024-04-07T00:00:00"/>
        <d v="2024-04-09T00:00:00"/>
        <d v="2024-04-11T00:00:00"/>
        <d v="2024-04-12T00:00:00"/>
        <d v="2024-04-14T00:00:00"/>
        <d v="2024-04-15T00:00:00"/>
        <d v="2024-04-16T00:00:00"/>
        <d v="2024-04-17T00:00:00"/>
        <d v="2024-04-19T00:00:00"/>
        <d v="2024-04-21T00:00:00"/>
        <d v="2024-04-22T00:00:00"/>
        <d v="2024-04-23T00:00:00"/>
        <d v="2024-04-25T00:00:00"/>
        <d v="2024-04-26T00:00:00"/>
        <d v="2024-04-27T00:00:00"/>
        <d v="2024-04-28T00:00:00"/>
        <d v="2024-04-29T00:00:00"/>
        <d v="2024-04-30T00:00:00"/>
        <d v="2024-05-04T00:00:00"/>
        <d v="2024-05-07T00:00:00"/>
        <d v="2024-05-08T00:00:00"/>
        <d v="2024-05-09T00:00:00"/>
        <d v="2024-05-10T00:00:00"/>
        <d v="2024-05-11T00:00:00"/>
        <d v="2024-05-13T00:00:00"/>
        <d v="2024-05-14T00:00:00"/>
        <d v="2024-05-15T00:00:00"/>
        <d v="2024-05-17T00:00:00"/>
        <d v="2024-05-19T00:00:00"/>
        <d v="2024-05-20T00:00:00"/>
        <d v="2024-05-21T00:00:00"/>
        <d v="2024-05-22T00:00:00"/>
        <d v="2024-05-23T00:00:00"/>
        <d v="2024-05-24T00:00:00"/>
        <d v="2024-05-26T00:00:00"/>
        <d v="2024-05-27T00:00:00"/>
        <d v="2024-05-31T00:00:00"/>
        <d v="2024-06-01T00:00:00"/>
        <d v="2024-06-02T00:00:00"/>
        <d v="2024-06-03T00:00:00"/>
        <d v="2024-06-04T00:00:00"/>
        <d v="2024-06-05T00:00:00"/>
        <d v="2024-06-06T00:00:00"/>
        <d v="2024-06-09T00:00:00"/>
        <d v="2024-06-11T00:00:00"/>
        <d v="2024-06-12T00:00:00"/>
        <d v="2024-06-16T00:00:00"/>
        <d v="2024-06-17T00:00:00"/>
        <d v="2024-06-18T00:00:00"/>
        <d v="2024-06-20T00:00:00"/>
        <d v="2024-06-22T00:00:00"/>
        <d v="2024-06-23T00:00:00"/>
        <d v="2024-06-25T00:00:00"/>
        <d v="2024-06-26T00:00:00"/>
        <d v="2024-06-27T00:00:00"/>
        <d v="2024-06-28T00:00:00"/>
        <d v="2024-06-29T00:00:00"/>
        <d v="2024-06-30T00:00:00"/>
      </sharedItems>
      <fieldGroup par="19"/>
    </cacheField>
    <cacheField name="Wilayah" numFmtId="0">
      <sharedItems count="4">
        <s v="Kalimantan"/>
        <s v="Jawa"/>
        <s v="Sumatera"/>
        <s v="Sulawesi"/>
      </sharedItems>
    </cacheField>
    <cacheField name="Kota" numFmtId="0">
      <sharedItems count="9">
        <s v="Balikpapan"/>
        <s v="Jakarta"/>
        <s v="Medan"/>
        <s v="Manado"/>
        <s v="Palembang"/>
        <s v="Surabaya"/>
        <s v="Banjarmasin"/>
        <s v="Makassar"/>
        <s v="Bandung"/>
      </sharedItems>
    </cacheField>
    <cacheField name="Nama Sales" numFmtId="0">
      <sharedItems count="8">
        <s v="HEsTI WUlANDARI"/>
        <s v="FiTri HandAYaNI"/>
        <s v="aNdi SaPuTra"/>
        <s v="CitRa DEWi"/>
        <s v="eKO PRaSetyo"/>
        <s v="GIlaNg RaMaDHaN"/>
        <s v="bUDi SAnTosO"/>
        <s v="Dewi LesTArI"/>
      </sharedItems>
    </cacheField>
    <cacheField name="Kategori Produk" numFmtId="0">
      <sharedItems count="4">
        <s v="Furnitur"/>
        <s v="Elektronik"/>
        <s v="Alat Tulis Kantor"/>
        <s v="Pakaian"/>
      </sharedItems>
    </cacheField>
    <cacheField name="Nama Produk" numFmtId="0">
      <sharedItems count="17">
        <s v="Meja Berdiri (Standing Desk)"/>
        <s v="Mouse Wireless"/>
        <s v="Organizer Meja"/>
        <s v="Webcam HD"/>
        <s v="Hoodie Branded"/>
        <s v="Kaos Perusahaan"/>
        <s v="Speaker Bluetooth"/>
        <s v="Rak Buku"/>
        <s v="Lemari Arsip"/>
        <s v="Standing Laptop"/>
        <s v="Kertas A4 (1 Rim)"/>
        <s v="Kursi Kantor"/>
        <s v="Spidol Whiteboard"/>
        <s v="Stapler"/>
        <s v="Topi"/>
        <s v="USB-C Hub"/>
        <s v="Sticky Notes"/>
      </sharedItems>
    </cacheField>
    <cacheField name="Unit Terjual" numFmtId="0">
      <sharedItems containsSemiMixedTypes="0" containsString="0" containsNumber="1" containsInteger="1" minValue="1" maxValue="40"/>
    </cacheField>
    <cacheField name="Harga Satuan" numFmtId="164">
      <sharedItems containsSemiMixedTypes="0" containsString="0" containsNumber="1" containsInteger="1" minValue="36000" maxValue="2290000"/>
    </cacheField>
    <cacheField name="Biaya Satuan" numFmtId="164">
      <sharedItems containsSemiMixedTypes="0" containsString="0" containsNumber="1" containsInteger="1" minValue="13000" maxValue="1290000"/>
    </cacheField>
    <cacheField name="Nama Sales Proper" numFmtId="164">
      <sharedItems count="8">
        <s v="Hesti Wulandari"/>
        <s v="Fitri Handayani"/>
        <s v="Andi Saputra"/>
        <s v="Citra Dewi"/>
        <s v="Eko Prasetyo"/>
        <s v="Gilang Ramadhan"/>
        <s v="Budi Santoso"/>
        <s v="Dewi Lestari"/>
      </sharedItems>
    </cacheField>
    <cacheField name="Metode Pembayaran" numFmtId="0">
      <sharedItems count="5">
        <s v="Kartu Kredit"/>
        <s v="QRIS"/>
        <s v="Kartu Debit"/>
        <s v="Transfer Bank"/>
        <s v="Tunai"/>
      </sharedItems>
    </cacheField>
    <cacheField name="Tipe Pelanggan" numFmtId="0">
      <sharedItems/>
    </cacheField>
    <cacheField name="Total Penjualan" numFmtId="164">
      <sharedItems containsSemiMixedTypes="0" containsString="0" containsNumber="1" containsInteger="1" minValue="72000" maxValue="87020000"/>
    </cacheField>
    <cacheField name="Diskon (%)" numFmtId="0">
      <sharedItems containsSemiMixedTypes="0" containsString="0" containsNumber="1" minValue="0" maxValue="0.2"/>
    </cacheField>
    <cacheField name="Harga Setelah Diskon" numFmtId="164">
      <sharedItems containsSemiMixedTypes="0" containsString="0" containsNumber="1" containsInteger="1" minValue="72000" maxValue="73967000"/>
    </cacheField>
    <cacheField name="Total Bersih" numFmtId="164">
      <sharedItems containsSemiMixedTypes="0" containsString="0" containsNumber="1" containsInteger="1" minValue="62000" maxValue="73966000"/>
    </cacheField>
    <cacheField name="Profit" numFmtId="164">
      <sharedItems containsSemiMixedTypes="0" containsString="0" containsNumber="1" containsInteger="1" minValue="36000" maxValue="24946000"/>
    </cacheField>
    <cacheField name="Days (Tanggal Pesanan)" numFmtId="0" databaseField="0">
      <fieldGroup base="1">
        <rangePr groupBy="days" startDate="2024-01-04T00:00:00" endDate="2024-07-01T00:00:00"/>
        <groupItems count="368">
          <s v="&lt;04/01/2024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/07/2024"/>
        </groupItems>
      </fieldGroup>
    </cacheField>
    <cacheField name="Months (Tanggal Pesanan)" numFmtId="0" databaseField="0">
      <fieldGroup base="1">
        <rangePr groupBy="months" startDate="2024-01-04T00:00:00" endDate="2024-07-01T00:00:00"/>
        <groupItems count="14">
          <s v="&lt;04/01/202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7/2024"/>
        </groupItems>
      </fieldGroup>
    </cacheField>
  </cacheFields>
  <extLst>
    <ext xmlns:x14="http://schemas.microsoft.com/office/spreadsheetml/2009/9/main" uri="{725AE2AE-9491-48be-B2B4-4EB974FC3084}">
      <x14:pivotCacheDefinition pivotCacheId="182661534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s v="INV-K-BR-1122"/>
    <x v="0"/>
    <x v="0"/>
    <x v="0"/>
    <x v="0"/>
    <x v="0"/>
    <x v="0"/>
    <n v="17"/>
    <n v="2290000"/>
    <n v="1290000"/>
    <x v="0"/>
    <x v="0"/>
    <s v="Baru"/>
    <n v="38930000"/>
    <n v="0.1"/>
    <n v="35037000"/>
    <n v="35027000"/>
    <n v="13097000"/>
  </r>
  <r>
    <s v="INV-Q-BR-1132"/>
    <x v="0"/>
    <x v="0"/>
    <x v="0"/>
    <x v="1"/>
    <x v="1"/>
    <x v="1"/>
    <n v="12"/>
    <n v="150000"/>
    <n v="75000"/>
    <x v="1"/>
    <x v="1"/>
    <s v="Baru"/>
    <n v="1800000"/>
    <n v="0"/>
    <n v="1800000"/>
    <n v="1799000"/>
    <n v="899000"/>
  </r>
  <r>
    <s v="INV-D-LM-1094"/>
    <x v="1"/>
    <x v="1"/>
    <x v="1"/>
    <x v="2"/>
    <x v="2"/>
    <x v="2"/>
    <n v="37"/>
    <n v="145000"/>
    <n v="62000"/>
    <x v="2"/>
    <x v="2"/>
    <s v="Lama"/>
    <n v="5365000"/>
    <n v="0"/>
    <n v="5365000"/>
    <n v="5358500"/>
    <n v="3064500"/>
  </r>
  <r>
    <s v="INV-B-LM-1068"/>
    <x v="2"/>
    <x v="2"/>
    <x v="2"/>
    <x v="2"/>
    <x v="1"/>
    <x v="3"/>
    <n v="16"/>
    <n v="370000"/>
    <n v="195000"/>
    <x v="2"/>
    <x v="3"/>
    <s v="Lama"/>
    <n v="5920000"/>
    <n v="0"/>
    <n v="5920000"/>
    <n v="5917500"/>
    <n v="2797500"/>
  </r>
  <r>
    <s v="INV-K-LM-1076"/>
    <x v="2"/>
    <x v="3"/>
    <x v="3"/>
    <x v="3"/>
    <x v="3"/>
    <x v="4"/>
    <n v="14"/>
    <n v="295000"/>
    <n v="138000"/>
    <x v="3"/>
    <x v="0"/>
    <s v="Lama"/>
    <n v="4130000"/>
    <n v="0"/>
    <n v="4130000"/>
    <n v="4120000"/>
    <n v="2188000"/>
  </r>
  <r>
    <s v="INV-K-LM-1194"/>
    <x v="2"/>
    <x v="2"/>
    <x v="4"/>
    <x v="2"/>
    <x v="1"/>
    <x v="3"/>
    <n v="5"/>
    <n v="370000"/>
    <n v="195000"/>
    <x v="2"/>
    <x v="0"/>
    <s v="Lama"/>
    <n v="1850000"/>
    <n v="0"/>
    <n v="1850000"/>
    <n v="1840000"/>
    <n v="865000"/>
  </r>
  <r>
    <s v="INV-K-BR-1127"/>
    <x v="3"/>
    <x v="0"/>
    <x v="0"/>
    <x v="0"/>
    <x v="3"/>
    <x v="5"/>
    <n v="16"/>
    <n v="110000"/>
    <n v="46000"/>
    <x v="0"/>
    <x v="0"/>
    <s v="Baru"/>
    <n v="1760000"/>
    <n v="0"/>
    <n v="1760000"/>
    <n v="1750000"/>
    <n v="1014000"/>
  </r>
  <r>
    <s v="INV-Q-LM-1160"/>
    <x v="4"/>
    <x v="1"/>
    <x v="5"/>
    <x v="4"/>
    <x v="1"/>
    <x v="6"/>
    <n v="6"/>
    <n v="420000"/>
    <n v="225000"/>
    <x v="4"/>
    <x v="1"/>
    <s v="Lama"/>
    <n v="2520000"/>
    <n v="0"/>
    <n v="2520000"/>
    <n v="2519000"/>
    <n v="1169000"/>
  </r>
  <r>
    <s v="INV-D-LM-1106"/>
    <x v="5"/>
    <x v="0"/>
    <x v="6"/>
    <x v="5"/>
    <x v="0"/>
    <x v="7"/>
    <n v="10"/>
    <n v="820000"/>
    <n v="415000"/>
    <x v="5"/>
    <x v="2"/>
    <s v="Lama"/>
    <n v="8200000"/>
    <n v="0"/>
    <n v="8200000"/>
    <n v="8193500"/>
    <n v="4043500"/>
  </r>
  <r>
    <s v="INV-T-BR-1111"/>
    <x v="5"/>
    <x v="0"/>
    <x v="0"/>
    <x v="4"/>
    <x v="0"/>
    <x v="0"/>
    <n v="24"/>
    <n v="2290000"/>
    <n v="1290000"/>
    <x v="4"/>
    <x v="4"/>
    <s v="Baru"/>
    <n v="54960000"/>
    <n v="0.2"/>
    <n v="43968000"/>
    <n v="43968000"/>
    <n v="13008000"/>
  </r>
  <r>
    <s v="INV-D-LM-1150"/>
    <x v="5"/>
    <x v="2"/>
    <x v="4"/>
    <x v="2"/>
    <x v="1"/>
    <x v="1"/>
    <n v="14"/>
    <n v="150000"/>
    <n v="75000"/>
    <x v="2"/>
    <x v="2"/>
    <s v="Lama"/>
    <n v="2100000"/>
    <n v="0"/>
    <n v="2100000"/>
    <n v="2093500"/>
    <n v="1043500"/>
  </r>
  <r>
    <s v="INV-D-BR-1185"/>
    <x v="5"/>
    <x v="0"/>
    <x v="6"/>
    <x v="3"/>
    <x v="3"/>
    <x v="5"/>
    <n v="31"/>
    <n v="110000"/>
    <n v="46000"/>
    <x v="3"/>
    <x v="2"/>
    <s v="Baru"/>
    <n v="3410000"/>
    <n v="0"/>
    <n v="3410000"/>
    <n v="3403500"/>
    <n v="1977500"/>
  </r>
  <r>
    <s v="INV-T-BR-1013"/>
    <x v="6"/>
    <x v="1"/>
    <x v="1"/>
    <x v="3"/>
    <x v="0"/>
    <x v="8"/>
    <n v="39"/>
    <n v="1010000"/>
    <n v="535000"/>
    <x v="3"/>
    <x v="4"/>
    <s v="Baru"/>
    <n v="39390000"/>
    <n v="0.1"/>
    <n v="35451000"/>
    <n v="35451000"/>
    <n v="14586000"/>
  </r>
  <r>
    <s v="INV-B-BR-1085"/>
    <x v="7"/>
    <x v="0"/>
    <x v="6"/>
    <x v="6"/>
    <x v="1"/>
    <x v="6"/>
    <n v="26"/>
    <n v="420000"/>
    <n v="225000"/>
    <x v="6"/>
    <x v="3"/>
    <s v="Baru"/>
    <n v="10920000"/>
    <n v="0"/>
    <n v="10920000"/>
    <n v="10917500"/>
    <n v="5067500"/>
  </r>
  <r>
    <s v="INV-Q-BR-1142"/>
    <x v="7"/>
    <x v="0"/>
    <x v="6"/>
    <x v="1"/>
    <x v="1"/>
    <x v="9"/>
    <n v="37"/>
    <n v="280000"/>
    <n v="130000"/>
    <x v="1"/>
    <x v="1"/>
    <s v="Baru"/>
    <n v="10360000"/>
    <n v="0"/>
    <n v="10360000"/>
    <n v="10359000"/>
    <n v="5549000"/>
  </r>
  <r>
    <s v="INV-K-BR-1164"/>
    <x v="7"/>
    <x v="0"/>
    <x v="0"/>
    <x v="1"/>
    <x v="1"/>
    <x v="9"/>
    <n v="36"/>
    <n v="280000"/>
    <n v="130000"/>
    <x v="1"/>
    <x v="0"/>
    <s v="Baru"/>
    <n v="10080000"/>
    <n v="0"/>
    <n v="10080000"/>
    <n v="10070000"/>
    <n v="5390000"/>
  </r>
  <r>
    <s v="INV-D-LM-1018"/>
    <x v="8"/>
    <x v="2"/>
    <x v="2"/>
    <x v="6"/>
    <x v="3"/>
    <x v="4"/>
    <n v="5"/>
    <n v="295000"/>
    <n v="138000"/>
    <x v="6"/>
    <x v="2"/>
    <s v="Lama"/>
    <n v="1475000"/>
    <n v="0"/>
    <n v="1475000"/>
    <n v="1468500"/>
    <n v="778500"/>
  </r>
  <r>
    <s v="INV-B-LM-1030"/>
    <x v="9"/>
    <x v="0"/>
    <x v="0"/>
    <x v="2"/>
    <x v="3"/>
    <x v="4"/>
    <n v="33"/>
    <n v="295000"/>
    <n v="138000"/>
    <x v="2"/>
    <x v="3"/>
    <s v="Lama"/>
    <n v="9735000"/>
    <n v="0"/>
    <n v="9735000"/>
    <n v="9732500"/>
    <n v="5178500"/>
  </r>
  <r>
    <s v="INV-Q-LM-1092"/>
    <x v="9"/>
    <x v="2"/>
    <x v="4"/>
    <x v="4"/>
    <x v="3"/>
    <x v="5"/>
    <n v="8"/>
    <n v="110000"/>
    <n v="46000"/>
    <x v="4"/>
    <x v="1"/>
    <s v="Lama"/>
    <n v="880000"/>
    <n v="0"/>
    <n v="880000"/>
    <n v="879000"/>
    <n v="511000"/>
  </r>
  <r>
    <s v="INV-B-LM-1135"/>
    <x v="9"/>
    <x v="3"/>
    <x v="3"/>
    <x v="5"/>
    <x v="1"/>
    <x v="9"/>
    <n v="32"/>
    <n v="280000"/>
    <n v="130000"/>
    <x v="5"/>
    <x v="3"/>
    <s v="Lama"/>
    <n v="8960000"/>
    <n v="0"/>
    <n v="8960000"/>
    <n v="8957500"/>
    <n v="4797500"/>
  </r>
  <r>
    <s v="INV-Q-BR-1061"/>
    <x v="10"/>
    <x v="3"/>
    <x v="3"/>
    <x v="1"/>
    <x v="3"/>
    <x v="5"/>
    <n v="27"/>
    <n v="110000"/>
    <n v="46000"/>
    <x v="1"/>
    <x v="1"/>
    <s v="Baru"/>
    <n v="2970000"/>
    <n v="0"/>
    <n v="2970000"/>
    <n v="2969000"/>
    <n v="1727000"/>
  </r>
  <r>
    <s v="INV-B-BR-1186"/>
    <x v="10"/>
    <x v="3"/>
    <x v="7"/>
    <x v="4"/>
    <x v="2"/>
    <x v="10"/>
    <n v="3"/>
    <n v="48000"/>
    <n v="19000"/>
    <x v="4"/>
    <x v="3"/>
    <s v="Baru"/>
    <n v="144000"/>
    <n v="0"/>
    <n v="144000"/>
    <n v="141500"/>
    <n v="84500"/>
  </r>
  <r>
    <s v="INV-B-LM-1130"/>
    <x v="11"/>
    <x v="2"/>
    <x v="2"/>
    <x v="7"/>
    <x v="0"/>
    <x v="11"/>
    <n v="10"/>
    <n v="1190000"/>
    <n v="630000"/>
    <x v="7"/>
    <x v="3"/>
    <s v="Lama"/>
    <n v="11900000"/>
    <n v="0"/>
    <n v="11900000"/>
    <n v="11897500"/>
    <n v="5597500"/>
  </r>
  <r>
    <s v="INV-D-LM-1140"/>
    <x v="11"/>
    <x v="1"/>
    <x v="1"/>
    <x v="6"/>
    <x v="0"/>
    <x v="8"/>
    <n v="7"/>
    <n v="1010000"/>
    <n v="535000"/>
    <x v="6"/>
    <x v="2"/>
    <s v="Lama"/>
    <n v="7070000"/>
    <n v="0"/>
    <n v="7070000"/>
    <n v="7063500"/>
    <n v="3318500"/>
  </r>
  <r>
    <s v="INV-T-LM-1136"/>
    <x v="12"/>
    <x v="0"/>
    <x v="0"/>
    <x v="6"/>
    <x v="1"/>
    <x v="3"/>
    <n v="18"/>
    <n v="370000"/>
    <n v="195000"/>
    <x v="6"/>
    <x v="4"/>
    <s v="Lama"/>
    <n v="6660000"/>
    <n v="0"/>
    <n v="6660000"/>
    <n v="6660000"/>
    <n v="3150000"/>
  </r>
  <r>
    <s v="INV-B-LM-1207"/>
    <x v="12"/>
    <x v="1"/>
    <x v="8"/>
    <x v="4"/>
    <x v="2"/>
    <x v="10"/>
    <n v="37"/>
    <n v="48000"/>
    <n v="19000"/>
    <x v="4"/>
    <x v="3"/>
    <s v="Lama"/>
    <n v="1776000"/>
    <n v="0"/>
    <n v="1776000"/>
    <n v="1773500"/>
    <n v="1070500"/>
  </r>
  <r>
    <s v="INV-B-LM-1002"/>
    <x v="13"/>
    <x v="3"/>
    <x v="7"/>
    <x v="2"/>
    <x v="1"/>
    <x v="6"/>
    <n v="14"/>
    <n v="420000"/>
    <n v="225000"/>
    <x v="2"/>
    <x v="3"/>
    <s v="Lama"/>
    <n v="5880000"/>
    <n v="0"/>
    <n v="5880000"/>
    <n v="5877500"/>
    <n v="2727500"/>
  </r>
  <r>
    <s v="INV-K-LM-1075"/>
    <x v="13"/>
    <x v="0"/>
    <x v="6"/>
    <x v="7"/>
    <x v="3"/>
    <x v="5"/>
    <n v="37"/>
    <n v="110000"/>
    <n v="46000"/>
    <x v="7"/>
    <x v="0"/>
    <s v="Lama"/>
    <n v="4070000"/>
    <n v="0"/>
    <n v="4070000"/>
    <n v="4060000"/>
    <n v="2358000"/>
  </r>
  <r>
    <s v="INV-D-BR-1199"/>
    <x v="13"/>
    <x v="0"/>
    <x v="6"/>
    <x v="6"/>
    <x v="2"/>
    <x v="12"/>
    <n v="20"/>
    <n v="75000"/>
    <n v="28000"/>
    <x v="6"/>
    <x v="2"/>
    <s v="Baru"/>
    <n v="1500000"/>
    <n v="0"/>
    <n v="1500000"/>
    <n v="1493500"/>
    <n v="933500"/>
  </r>
  <r>
    <s v="INV-K-LM-1119"/>
    <x v="14"/>
    <x v="0"/>
    <x v="6"/>
    <x v="5"/>
    <x v="2"/>
    <x v="13"/>
    <n v="13"/>
    <n v="60000"/>
    <n v="25000"/>
    <x v="5"/>
    <x v="0"/>
    <s v="Lama"/>
    <n v="780000"/>
    <n v="0"/>
    <n v="780000"/>
    <n v="770000"/>
    <n v="445000"/>
  </r>
  <r>
    <s v="INV-D-LM-1129"/>
    <x v="14"/>
    <x v="2"/>
    <x v="2"/>
    <x v="2"/>
    <x v="0"/>
    <x v="11"/>
    <n v="16"/>
    <n v="1190000"/>
    <n v="630000"/>
    <x v="2"/>
    <x v="2"/>
    <s v="Lama"/>
    <n v="19040000"/>
    <n v="0"/>
    <n v="19040000"/>
    <n v="19033500"/>
    <n v="8953500"/>
  </r>
  <r>
    <s v="INV-K-LM-1167"/>
    <x v="14"/>
    <x v="3"/>
    <x v="3"/>
    <x v="2"/>
    <x v="0"/>
    <x v="0"/>
    <n v="20"/>
    <n v="2290000"/>
    <n v="1290000"/>
    <x v="2"/>
    <x v="0"/>
    <s v="Lama"/>
    <n v="45800000"/>
    <n v="0"/>
    <n v="45800000"/>
    <n v="45790000"/>
    <n v="19990000"/>
  </r>
  <r>
    <s v="INV-K-BR-1175"/>
    <x v="14"/>
    <x v="2"/>
    <x v="4"/>
    <x v="1"/>
    <x v="1"/>
    <x v="1"/>
    <n v="27"/>
    <n v="150000"/>
    <n v="75000"/>
    <x v="1"/>
    <x v="0"/>
    <s v="Baru"/>
    <n v="4050000"/>
    <n v="0"/>
    <n v="4050000"/>
    <n v="4040000"/>
    <n v="2015000"/>
  </r>
  <r>
    <s v="INV-B-LM-1206"/>
    <x v="14"/>
    <x v="2"/>
    <x v="2"/>
    <x v="3"/>
    <x v="0"/>
    <x v="11"/>
    <n v="37"/>
    <n v="1190000"/>
    <n v="630000"/>
    <x v="3"/>
    <x v="3"/>
    <s v="Lama"/>
    <n v="44030000"/>
    <n v="0"/>
    <n v="44030000"/>
    <n v="44027500"/>
    <n v="20717500"/>
  </r>
  <r>
    <s v="INV-Q-BR-1025"/>
    <x v="15"/>
    <x v="2"/>
    <x v="2"/>
    <x v="7"/>
    <x v="3"/>
    <x v="5"/>
    <n v="9"/>
    <n v="110000"/>
    <n v="46000"/>
    <x v="7"/>
    <x v="1"/>
    <s v="Baru"/>
    <n v="990000"/>
    <n v="0"/>
    <n v="990000"/>
    <n v="989000"/>
    <n v="575000"/>
  </r>
  <r>
    <s v="INV-B-LM-1056"/>
    <x v="15"/>
    <x v="3"/>
    <x v="7"/>
    <x v="3"/>
    <x v="3"/>
    <x v="14"/>
    <n v="30"/>
    <n v="87000"/>
    <n v="37000"/>
    <x v="3"/>
    <x v="3"/>
    <s v="Lama"/>
    <n v="2610000"/>
    <n v="0"/>
    <n v="2610000"/>
    <n v="2607500"/>
    <n v="1497500"/>
  </r>
  <r>
    <s v="INV-Q-LM-1123"/>
    <x v="15"/>
    <x v="2"/>
    <x v="4"/>
    <x v="2"/>
    <x v="0"/>
    <x v="11"/>
    <n v="40"/>
    <n v="1190000"/>
    <n v="630000"/>
    <x v="2"/>
    <x v="1"/>
    <s v="Lama"/>
    <n v="47600000"/>
    <n v="0"/>
    <n v="47600000"/>
    <n v="47599000"/>
    <n v="22399000"/>
  </r>
  <r>
    <s v="INV-B-LM-1134"/>
    <x v="15"/>
    <x v="3"/>
    <x v="7"/>
    <x v="2"/>
    <x v="3"/>
    <x v="14"/>
    <n v="20"/>
    <n v="87000"/>
    <n v="37000"/>
    <x v="2"/>
    <x v="3"/>
    <s v="Lama"/>
    <n v="1740000"/>
    <n v="0"/>
    <n v="1740000"/>
    <n v="1737500"/>
    <n v="997500"/>
  </r>
  <r>
    <s v="INV-Q-LM-1040"/>
    <x v="16"/>
    <x v="1"/>
    <x v="8"/>
    <x v="3"/>
    <x v="1"/>
    <x v="15"/>
    <n v="24"/>
    <n v="320000"/>
    <n v="160000"/>
    <x v="3"/>
    <x v="1"/>
    <s v="Lama"/>
    <n v="7680000"/>
    <n v="0"/>
    <n v="7680000"/>
    <n v="7679000"/>
    <n v="3839000"/>
  </r>
  <r>
    <s v="INV-T-LM-1125"/>
    <x v="17"/>
    <x v="1"/>
    <x v="1"/>
    <x v="3"/>
    <x v="0"/>
    <x v="7"/>
    <n v="30"/>
    <n v="820000"/>
    <n v="415000"/>
    <x v="3"/>
    <x v="4"/>
    <s v="Lama"/>
    <n v="24600000"/>
    <n v="0"/>
    <n v="24600000"/>
    <n v="24600000"/>
    <n v="12150000"/>
  </r>
  <r>
    <s v="INV-K-LM-1149"/>
    <x v="17"/>
    <x v="0"/>
    <x v="6"/>
    <x v="6"/>
    <x v="2"/>
    <x v="12"/>
    <n v="38"/>
    <n v="75000"/>
    <n v="28000"/>
    <x v="6"/>
    <x v="0"/>
    <s v="Lama"/>
    <n v="2850000"/>
    <n v="0"/>
    <n v="2850000"/>
    <n v="2840000"/>
    <n v="1776000"/>
  </r>
  <r>
    <s v="INV-Q-BR-1174"/>
    <x v="18"/>
    <x v="0"/>
    <x v="0"/>
    <x v="3"/>
    <x v="2"/>
    <x v="2"/>
    <n v="29"/>
    <n v="145000"/>
    <n v="62000"/>
    <x v="3"/>
    <x v="1"/>
    <s v="Baru"/>
    <n v="4205000"/>
    <n v="0"/>
    <n v="4205000"/>
    <n v="4204000"/>
    <n v="2406000"/>
  </r>
  <r>
    <s v="INV-T-BR-1204"/>
    <x v="18"/>
    <x v="2"/>
    <x v="4"/>
    <x v="3"/>
    <x v="2"/>
    <x v="13"/>
    <n v="21"/>
    <n v="60000"/>
    <n v="25000"/>
    <x v="3"/>
    <x v="4"/>
    <s v="Baru"/>
    <n v="1260000"/>
    <n v="0"/>
    <n v="1260000"/>
    <n v="1260000"/>
    <n v="735000"/>
  </r>
  <r>
    <s v="INV-T-LM-1019"/>
    <x v="19"/>
    <x v="3"/>
    <x v="7"/>
    <x v="4"/>
    <x v="3"/>
    <x v="14"/>
    <n v="39"/>
    <n v="87000"/>
    <n v="37000"/>
    <x v="4"/>
    <x v="4"/>
    <s v="Lama"/>
    <n v="3393000"/>
    <n v="0"/>
    <n v="3393000"/>
    <n v="3393000"/>
    <n v="1950000"/>
  </r>
  <r>
    <s v="INV-B-LM-1041"/>
    <x v="19"/>
    <x v="1"/>
    <x v="5"/>
    <x v="1"/>
    <x v="1"/>
    <x v="15"/>
    <n v="23"/>
    <n v="320000"/>
    <n v="160000"/>
    <x v="1"/>
    <x v="3"/>
    <s v="Lama"/>
    <n v="7360000"/>
    <n v="0"/>
    <n v="7360000"/>
    <n v="7357500"/>
    <n v="3677500"/>
  </r>
  <r>
    <s v="INV-T-LM-1035"/>
    <x v="20"/>
    <x v="0"/>
    <x v="0"/>
    <x v="7"/>
    <x v="0"/>
    <x v="0"/>
    <n v="19"/>
    <n v="2290000"/>
    <n v="1290000"/>
    <x v="7"/>
    <x v="4"/>
    <s v="Lama"/>
    <n v="43510000"/>
    <n v="0"/>
    <n v="43510000"/>
    <n v="43510000"/>
    <n v="19000000"/>
  </r>
  <r>
    <s v="INV-T-LM-1166"/>
    <x v="20"/>
    <x v="1"/>
    <x v="5"/>
    <x v="5"/>
    <x v="0"/>
    <x v="11"/>
    <n v="9"/>
    <n v="1190000"/>
    <n v="630000"/>
    <x v="5"/>
    <x v="4"/>
    <s v="Lama"/>
    <n v="10710000"/>
    <n v="0"/>
    <n v="10710000"/>
    <n v="10710000"/>
    <n v="5040000"/>
  </r>
  <r>
    <s v="INV-T-BR-1219"/>
    <x v="21"/>
    <x v="0"/>
    <x v="6"/>
    <x v="0"/>
    <x v="1"/>
    <x v="3"/>
    <n v="39"/>
    <n v="370000"/>
    <n v="195000"/>
    <x v="0"/>
    <x v="4"/>
    <s v="Baru"/>
    <n v="14430000"/>
    <n v="0"/>
    <n v="14430000"/>
    <n v="14430000"/>
    <n v="6825000"/>
  </r>
  <r>
    <s v="INV-Q-LM-1054"/>
    <x v="22"/>
    <x v="1"/>
    <x v="1"/>
    <x v="7"/>
    <x v="3"/>
    <x v="4"/>
    <n v="40"/>
    <n v="295000"/>
    <n v="138000"/>
    <x v="7"/>
    <x v="1"/>
    <s v="Lama"/>
    <n v="11800000"/>
    <n v="0"/>
    <n v="11800000"/>
    <n v="11799000"/>
    <n v="6279000"/>
  </r>
  <r>
    <s v="INV-Q-LM-1177"/>
    <x v="22"/>
    <x v="2"/>
    <x v="2"/>
    <x v="4"/>
    <x v="3"/>
    <x v="4"/>
    <n v="9"/>
    <n v="295000"/>
    <n v="138000"/>
    <x v="4"/>
    <x v="1"/>
    <s v="Lama"/>
    <n v="2655000"/>
    <n v="0"/>
    <n v="2655000"/>
    <n v="2654000"/>
    <n v="1412000"/>
  </r>
  <r>
    <s v="INV-T-LM-1086"/>
    <x v="23"/>
    <x v="2"/>
    <x v="4"/>
    <x v="6"/>
    <x v="2"/>
    <x v="16"/>
    <n v="8"/>
    <n v="36000"/>
    <n v="13000"/>
    <x v="6"/>
    <x v="4"/>
    <s v="Lama"/>
    <n v="288000"/>
    <n v="0"/>
    <n v="288000"/>
    <n v="288000"/>
    <n v="184000"/>
  </r>
  <r>
    <s v="INV-B-BR-1004"/>
    <x v="24"/>
    <x v="3"/>
    <x v="3"/>
    <x v="4"/>
    <x v="1"/>
    <x v="3"/>
    <n v="14"/>
    <n v="370000"/>
    <n v="195000"/>
    <x v="4"/>
    <x v="3"/>
    <s v="Baru"/>
    <n v="5180000"/>
    <n v="0"/>
    <n v="5180000"/>
    <n v="5177500"/>
    <n v="2447500"/>
  </r>
  <r>
    <s v="INV-K-LM-1209"/>
    <x v="24"/>
    <x v="3"/>
    <x v="3"/>
    <x v="0"/>
    <x v="3"/>
    <x v="5"/>
    <n v="14"/>
    <n v="110000"/>
    <n v="46000"/>
    <x v="0"/>
    <x v="0"/>
    <s v="Lama"/>
    <n v="1540000"/>
    <n v="0"/>
    <n v="1540000"/>
    <n v="1530000"/>
    <n v="886000"/>
  </r>
  <r>
    <s v="INV-T-LM-1008"/>
    <x v="25"/>
    <x v="0"/>
    <x v="6"/>
    <x v="7"/>
    <x v="2"/>
    <x v="2"/>
    <n v="5"/>
    <n v="145000"/>
    <n v="62000"/>
    <x v="7"/>
    <x v="4"/>
    <s v="Lama"/>
    <n v="725000"/>
    <n v="0"/>
    <n v="725000"/>
    <n v="725000"/>
    <n v="415000"/>
  </r>
  <r>
    <s v="INV-Q-LM-1070"/>
    <x v="25"/>
    <x v="0"/>
    <x v="0"/>
    <x v="2"/>
    <x v="2"/>
    <x v="12"/>
    <n v="37"/>
    <n v="75000"/>
    <n v="28000"/>
    <x v="2"/>
    <x v="1"/>
    <s v="Lama"/>
    <n v="2775000"/>
    <n v="0"/>
    <n v="2775000"/>
    <n v="2774000"/>
    <n v="1738000"/>
  </r>
  <r>
    <s v="INV-T-LM-1028"/>
    <x v="26"/>
    <x v="3"/>
    <x v="7"/>
    <x v="5"/>
    <x v="2"/>
    <x v="2"/>
    <n v="30"/>
    <n v="145000"/>
    <n v="62000"/>
    <x v="5"/>
    <x v="4"/>
    <s v="Lama"/>
    <n v="4350000"/>
    <n v="0"/>
    <n v="4350000"/>
    <n v="4350000"/>
    <n v="2490000"/>
  </r>
  <r>
    <s v="INV-Q-LM-1154"/>
    <x v="27"/>
    <x v="3"/>
    <x v="3"/>
    <x v="6"/>
    <x v="0"/>
    <x v="8"/>
    <n v="7"/>
    <n v="1010000"/>
    <n v="535000"/>
    <x v="6"/>
    <x v="1"/>
    <s v="Lama"/>
    <n v="7070000"/>
    <n v="0"/>
    <n v="7070000"/>
    <n v="7069000"/>
    <n v="3324000"/>
  </r>
  <r>
    <s v="INV-Q-LM-1158"/>
    <x v="28"/>
    <x v="3"/>
    <x v="3"/>
    <x v="0"/>
    <x v="0"/>
    <x v="11"/>
    <n v="21"/>
    <n v="1190000"/>
    <n v="630000"/>
    <x v="0"/>
    <x v="1"/>
    <s v="Lama"/>
    <n v="24990000"/>
    <n v="0"/>
    <n v="24990000"/>
    <n v="24989000"/>
    <n v="11759000"/>
  </r>
  <r>
    <s v="INV-T-LM-1197"/>
    <x v="29"/>
    <x v="3"/>
    <x v="3"/>
    <x v="6"/>
    <x v="2"/>
    <x v="2"/>
    <n v="17"/>
    <n v="145000"/>
    <n v="62000"/>
    <x v="6"/>
    <x v="4"/>
    <s v="Lama"/>
    <n v="2465000"/>
    <n v="0"/>
    <n v="2465000"/>
    <n v="2465000"/>
    <n v="1411000"/>
  </r>
  <r>
    <s v="INV-B-LM-1103"/>
    <x v="30"/>
    <x v="2"/>
    <x v="2"/>
    <x v="4"/>
    <x v="0"/>
    <x v="8"/>
    <n v="22"/>
    <n v="1010000"/>
    <n v="535000"/>
    <x v="4"/>
    <x v="3"/>
    <s v="Lama"/>
    <n v="22220000"/>
    <n v="0"/>
    <n v="22220000"/>
    <n v="22217500"/>
    <n v="10447500"/>
  </r>
  <r>
    <s v="INV-T-LM-1173"/>
    <x v="31"/>
    <x v="2"/>
    <x v="4"/>
    <x v="2"/>
    <x v="3"/>
    <x v="4"/>
    <n v="24"/>
    <n v="295000"/>
    <n v="138000"/>
    <x v="2"/>
    <x v="4"/>
    <s v="Lama"/>
    <n v="7080000"/>
    <n v="0"/>
    <n v="7080000"/>
    <n v="7080000"/>
    <n v="3768000"/>
  </r>
  <r>
    <s v="INV-Q-LM-1033"/>
    <x v="32"/>
    <x v="0"/>
    <x v="0"/>
    <x v="4"/>
    <x v="0"/>
    <x v="7"/>
    <n v="9"/>
    <n v="820000"/>
    <n v="415000"/>
    <x v="4"/>
    <x v="1"/>
    <s v="Lama"/>
    <n v="7380000"/>
    <n v="0"/>
    <n v="7380000"/>
    <n v="7379000"/>
    <n v="3644000"/>
  </r>
  <r>
    <s v="INV-Q-BR-1023"/>
    <x v="33"/>
    <x v="2"/>
    <x v="4"/>
    <x v="7"/>
    <x v="3"/>
    <x v="4"/>
    <n v="27"/>
    <n v="295000"/>
    <n v="138000"/>
    <x v="7"/>
    <x v="1"/>
    <s v="Baru"/>
    <n v="7965000"/>
    <n v="0"/>
    <n v="7965000"/>
    <n v="7964000"/>
    <n v="4238000"/>
  </r>
  <r>
    <s v="INV-D-BR-1044"/>
    <x v="34"/>
    <x v="2"/>
    <x v="4"/>
    <x v="1"/>
    <x v="2"/>
    <x v="12"/>
    <n v="15"/>
    <n v="75000"/>
    <n v="28000"/>
    <x v="1"/>
    <x v="2"/>
    <s v="Baru"/>
    <n v="1125000"/>
    <n v="0"/>
    <n v="1125000"/>
    <n v="1118500"/>
    <n v="698500"/>
  </r>
  <r>
    <s v="INV-B-BR-1021"/>
    <x v="35"/>
    <x v="1"/>
    <x v="5"/>
    <x v="2"/>
    <x v="2"/>
    <x v="16"/>
    <n v="38"/>
    <n v="36000"/>
    <n v="13000"/>
    <x v="2"/>
    <x v="3"/>
    <s v="Baru"/>
    <n v="1368000"/>
    <n v="0"/>
    <n v="1368000"/>
    <n v="1365500"/>
    <n v="871500"/>
  </r>
  <r>
    <s v="INV-Q-BR-1143"/>
    <x v="35"/>
    <x v="1"/>
    <x v="5"/>
    <x v="1"/>
    <x v="1"/>
    <x v="9"/>
    <n v="18"/>
    <n v="280000"/>
    <n v="130000"/>
    <x v="1"/>
    <x v="1"/>
    <s v="Baru"/>
    <n v="5040000"/>
    <n v="0"/>
    <n v="5040000"/>
    <n v="5039000"/>
    <n v="2699000"/>
  </r>
  <r>
    <s v="INV-T-LM-1010"/>
    <x v="36"/>
    <x v="1"/>
    <x v="5"/>
    <x v="5"/>
    <x v="2"/>
    <x v="2"/>
    <n v="5"/>
    <n v="145000"/>
    <n v="62000"/>
    <x v="5"/>
    <x v="4"/>
    <s v="Lama"/>
    <n v="725000"/>
    <n v="0"/>
    <n v="725000"/>
    <n v="725000"/>
    <n v="415000"/>
  </r>
  <r>
    <s v="INV-Q-BR-1022"/>
    <x v="36"/>
    <x v="1"/>
    <x v="1"/>
    <x v="1"/>
    <x v="1"/>
    <x v="6"/>
    <n v="33"/>
    <n v="420000"/>
    <n v="225000"/>
    <x v="1"/>
    <x v="1"/>
    <s v="Baru"/>
    <n v="13860000"/>
    <n v="0"/>
    <n v="13860000"/>
    <n v="13859000"/>
    <n v="6434000"/>
  </r>
  <r>
    <s v="INV-B-LM-1110"/>
    <x v="36"/>
    <x v="1"/>
    <x v="5"/>
    <x v="6"/>
    <x v="1"/>
    <x v="9"/>
    <n v="29"/>
    <n v="280000"/>
    <n v="130000"/>
    <x v="6"/>
    <x v="3"/>
    <s v="Lama"/>
    <n v="8120000"/>
    <n v="0"/>
    <n v="8120000"/>
    <n v="8117500"/>
    <n v="4347500"/>
  </r>
  <r>
    <s v="INV-B-LM-1027"/>
    <x v="37"/>
    <x v="2"/>
    <x v="4"/>
    <x v="0"/>
    <x v="3"/>
    <x v="4"/>
    <n v="14"/>
    <n v="295000"/>
    <n v="138000"/>
    <x v="0"/>
    <x v="3"/>
    <s v="Lama"/>
    <n v="4130000"/>
    <n v="0"/>
    <n v="4130000"/>
    <n v="4127500"/>
    <n v="2195500"/>
  </r>
  <r>
    <s v="INV-B-BR-1157"/>
    <x v="37"/>
    <x v="1"/>
    <x v="1"/>
    <x v="4"/>
    <x v="2"/>
    <x v="10"/>
    <n v="12"/>
    <n v="48000"/>
    <n v="19000"/>
    <x v="4"/>
    <x v="3"/>
    <s v="Baru"/>
    <n v="576000"/>
    <n v="0"/>
    <n v="576000"/>
    <n v="573500"/>
    <n v="345500"/>
  </r>
  <r>
    <s v="INV-K-LM-1176"/>
    <x v="37"/>
    <x v="3"/>
    <x v="7"/>
    <x v="1"/>
    <x v="2"/>
    <x v="16"/>
    <n v="2"/>
    <n v="36000"/>
    <n v="13000"/>
    <x v="1"/>
    <x v="0"/>
    <s v="Lama"/>
    <n v="72000"/>
    <n v="0"/>
    <n v="72000"/>
    <n v="62000"/>
    <n v="36000"/>
  </r>
  <r>
    <s v="INV-D-BR-1078"/>
    <x v="38"/>
    <x v="3"/>
    <x v="3"/>
    <x v="0"/>
    <x v="1"/>
    <x v="1"/>
    <n v="6"/>
    <n v="150000"/>
    <n v="75000"/>
    <x v="0"/>
    <x v="2"/>
    <s v="Baru"/>
    <n v="900000"/>
    <n v="0"/>
    <n v="900000"/>
    <n v="893500"/>
    <n v="443500"/>
  </r>
  <r>
    <s v="INV-Q-LM-1089"/>
    <x v="38"/>
    <x v="2"/>
    <x v="2"/>
    <x v="3"/>
    <x v="1"/>
    <x v="1"/>
    <n v="27"/>
    <n v="150000"/>
    <n v="75000"/>
    <x v="3"/>
    <x v="1"/>
    <s v="Lama"/>
    <n v="4050000"/>
    <n v="0"/>
    <n v="4050000"/>
    <n v="4049000"/>
    <n v="2024000"/>
  </r>
  <r>
    <s v="INV-B-LM-1009"/>
    <x v="39"/>
    <x v="2"/>
    <x v="4"/>
    <x v="5"/>
    <x v="2"/>
    <x v="2"/>
    <n v="36"/>
    <n v="145000"/>
    <n v="62000"/>
    <x v="5"/>
    <x v="3"/>
    <s v="Lama"/>
    <n v="5220000"/>
    <n v="0"/>
    <n v="5220000"/>
    <n v="5217500"/>
    <n v="2985500"/>
  </r>
  <r>
    <s v="INV-B-BR-1026"/>
    <x v="40"/>
    <x v="1"/>
    <x v="5"/>
    <x v="6"/>
    <x v="1"/>
    <x v="15"/>
    <n v="35"/>
    <n v="320000"/>
    <n v="160000"/>
    <x v="6"/>
    <x v="3"/>
    <s v="Baru"/>
    <n v="11200000"/>
    <n v="0"/>
    <n v="11200000"/>
    <n v="11197500"/>
    <n v="5597500"/>
  </r>
  <r>
    <s v="INV-K-LM-1032"/>
    <x v="40"/>
    <x v="1"/>
    <x v="8"/>
    <x v="6"/>
    <x v="0"/>
    <x v="8"/>
    <n v="38"/>
    <n v="1010000"/>
    <n v="535000"/>
    <x v="6"/>
    <x v="0"/>
    <s v="Lama"/>
    <n v="38380000"/>
    <n v="0"/>
    <n v="38380000"/>
    <n v="38370000"/>
    <n v="18040000"/>
  </r>
  <r>
    <s v="INV-B-LM-1067"/>
    <x v="41"/>
    <x v="1"/>
    <x v="5"/>
    <x v="2"/>
    <x v="1"/>
    <x v="15"/>
    <n v="23"/>
    <n v="320000"/>
    <n v="160000"/>
    <x v="2"/>
    <x v="3"/>
    <s v="Lama"/>
    <n v="7360000"/>
    <n v="0"/>
    <n v="7360000"/>
    <n v="7357500"/>
    <n v="3677500"/>
  </r>
  <r>
    <s v="INV-D-LM-1048"/>
    <x v="42"/>
    <x v="1"/>
    <x v="8"/>
    <x v="5"/>
    <x v="1"/>
    <x v="1"/>
    <n v="34"/>
    <n v="150000"/>
    <n v="75000"/>
    <x v="5"/>
    <x v="2"/>
    <s v="Lama"/>
    <n v="5100000"/>
    <n v="0"/>
    <n v="5100000"/>
    <n v="5093500"/>
    <n v="2543500"/>
  </r>
  <r>
    <s v="INV-D-LM-1151"/>
    <x v="42"/>
    <x v="0"/>
    <x v="6"/>
    <x v="6"/>
    <x v="1"/>
    <x v="1"/>
    <n v="32"/>
    <n v="150000"/>
    <n v="75000"/>
    <x v="6"/>
    <x v="2"/>
    <s v="Lama"/>
    <n v="4800000"/>
    <n v="0"/>
    <n v="4800000"/>
    <n v="4793500"/>
    <n v="2393500"/>
  </r>
  <r>
    <s v="INV-D-LM-1190"/>
    <x v="43"/>
    <x v="1"/>
    <x v="8"/>
    <x v="5"/>
    <x v="1"/>
    <x v="6"/>
    <n v="28"/>
    <n v="420000"/>
    <n v="225000"/>
    <x v="5"/>
    <x v="2"/>
    <s v="Lama"/>
    <n v="11760000"/>
    <n v="0"/>
    <n v="11760000"/>
    <n v="11753500"/>
    <n v="5453500"/>
  </r>
  <r>
    <s v="INV-T-BR-1080"/>
    <x v="44"/>
    <x v="0"/>
    <x v="6"/>
    <x v="7"/>
    <x v="1"/>
    <x v="9"/>
    <n v="13"/>
    <n v="280000"/>
    <n v="130000"/>
    <x v="7"/>
    <x v="4"/>
    <s v="Baru"/>
    <n v="3640000"/>
    <n v="0"/>
    <n v="3640000"/>
    <n v="3640000"/>
    <n v="1950000"/>
  </r>
  <r>
    <s v="INV-K-BR-1093"/>
    <x v="44"/>
    <x v="3"/>
    <x v="3"/>
    <x v="6"/>
    <x v="1"/>
    <x v="15"/>
    <n v="28"/>
    <n v="320000"/>
    <n v="160000"/>
    <x v="6"/>
    <x v="0"/>
    <s v="Baru"/>
    <n v="8960000"/>
    <n v="0"/>
    <n v="8960000"/>
    <n v="8950000"/>
    <n v="4470000"/>
  </r>
  <r>
    <s v="INV-T-BR-1148"/>
    <x v="44"/>
    <x v="3"/>
    <x v="3"/>
    <x v="0"/>
    <x v="3"/>
    <x v="5"/>
    <n v="27"/>
    <n v="110000"/>
    <n v="46000"/>
    <x v="0"/>
    <x v="4"/>
    <s v="Baru"/>
    <n v="2970000"/>
    <n v="0"/>
    <n v="2970000"/>
    <n v="2970000"/>
    <n v="1728000"/>
  </r>
  <r>
    <s v="INV-D-LM-1131"/>
    <x v="45"/>
    <x v="2"/>
    <x v="2"/>
    <x v="4"/>
    <x v="2"/>
    <x v="13"/>
    <n v="8"/>
    <n v="60000"/>
    <n v="25000"/>
    <x v="4"/>
    <x v="2"/>
    <s v="Lama"/>
    <n v="480000"/>
    <n v="0"/>
    <n v="480000"/>
    <n v="473500"/>
    <n v="273500"/>
  </r>
  <r>
    <s v="INV-T-LM-1077"/>
    <x v="46"/>
    <x v="0"/>
    <x v="0"/>
    <x v="7"/>
    <x v="1"/>
    <x v="6"/>
    <n v="16"/>
    <n v="420000"/>
    <n v="225000"/>
    <x v="7"/>
    <x v="4"/>
    <s v="Lama"/>
    <n v="6720000"/>
    <n v="0"/>
    <n v="6720000"/>
    <n v="6720000"/>
    <n v="3120000"/>
  </r>
  <r>
    <s v="INV-T-BR-1104"/>
    <x v="47"/>
    <x v="0"/>
    <x v="6"/>
    <x v="3"/>
    <x v="3"/>
    <x v="5"/>
    <n v="35"/>
    <n v="110000"/>
    <n v="46000"/>
    <x v="3"/>
    <x v="4"/>
    <s v="Baru"/>
    <n v="3850000"/>
    <n v="0"/>
    <n v="3850000"/>
    <n v="3850000"/>
    <n v="2240000"/>
  </r>
  <r>
    <s v="INV-T-BR-1205"/>
    <x v="47"/>
    <x v="1"/>
    <x v="5"/>
    <x v="7"/>
    <x v="2"/>
    <x v="2"/>
    <n v="9"/>
    <n v="145000"/>
    <n v="62000"/>
    <x v="7"/>
    <x v="4"/>
    <s v="Baru"/>
    <n v="1305000"/>
    <n v="0"/>
    <n v="1305000"/>
    <n v="1305000"/>
    <n v="747000"/>
  </r>
  <r>
    <s v="INV-Q-LM-1114"/>
    <x v="48"/>
    <x v="2"/>
    <x v="2"/>
    <x v="0"/>
    <x v="0"/>
    <x v="0"/>
    <n v="38"/>
    <n v="2290000"/>
    <n v="1290000"/>
    <x v="0"/>
    <x v="1"/>
    <s v="Lama"/>
    <n v="87020000"/>
    <n v="0.15"/>
    <n v="73967000"/>
    <n v="73966000"/>
    <n v="24946000"/>
  </r>
  <r>
    <s v="INV-Q-BR-1198"/>
    <x v="48"/>
    <x v="3"/>
    <x v="7"/>
    <x v="6"/>
    <x v="1"/>
    <x v="3"/>
    <n v="5"/>
    <n v="370000"/>
    <n v="195000"/>
    <x v="6"/>
    <x v="1"/>
    <s v="Baru"/>
    <n v="1850000"/>
    <n v="0"/>
    <n v="1850000"/>
    <n v="1849000"/>
    <n v="874000"/>
  </r>
  <r>
    <s v="INV-Q-BR-1215"/>
    <x v="48"/>
    <x v="1"/>
    <x v="1"/>
    <x v="5"/>
    <x v="1"/>
    <x v="3"/>
    <n v="17"/>
    <n v="370000"/>
    <n v="195000"/>
    <x v="5"/>
    <x v="1"/>
    <s v="Baru"/>
    <n v="6290000"/>
    <n v="0"/>
    <n v="6290000"/>
    <n v="6289000"/>
    <n v="2974000"/>
  </r>
  <r>
    <s v="INV-K-LM-1090"/>
    <x v="49"/>
    <x v="1"/>
    <x v="1"/>
    <x v="4"/>
    <x v="2"/>
    <x v="12"/>
    <n v="30"/>
    <n v="75000"/>
    <n v="28000"/>
    <x v="4"/>
    <x v="0"/>
    <s v="Lama"/>
    <n v="2250000"/>
    <n v="0"/>
    <n v="2250000"/>
    <n v="2240000"/>
    <n v="1400000"/>
  </r>
  <r>
    <s v="INV-Q-LM-1102"/>
    <x v="49"/>
    <x v="0"/>
    <x v="6"/>
    <x v="0"/>
    <x v="3"/>
    <x v="4"/>
    <n v="16"/>
    <n v="295000"/>
    <n v="138000"/>
    <x v="0"/>
    <x v="1"/>
    <s v="Lama"/>
    <n v="4720000"/>
    <n v="0"/>
    <n v="4720000"/>
    <n v="4719000"/>
    <n v="2511000"/>
  </r>
  <r>
    <s v="INV-Q-BR-1079"/>
    <x v="50"/>
    <x v="0"/>
    <x v="6"/>
    <x v="1"/>
    <x v="0"/>
    <x v="8"/>
    <n v="36"/>
    <n v="1010000"/>
    <n v="535000"/>
    <x v="1"/>
    <x v="1"/>
    <s v="Baru"/>
    <n v="36360000"/>
    <n v="0.1"/>
    <n v="32724000"/>
    <n v="32723000"/>
    <n v="13463000"/>
  </r>
  <r>
    <s v="INV-D-LM-1088"/>
    <x v="50"/>
    <x v="1"/>
    <x v="8"/>
    <x v="6"/>
    <x v="2"/>
    <x v="10"/>
    <n v="14"/>
    <n v="48000"/>
    <n v="19000"/>
    <x v="6"/>
    <x v="2"/>
    <s v="Lama"/>
    <n v="672000"/>
    <n v="0"/>
    <n v="672000"/>
    <n v="665500"/>
    <n v="399500"/>
  </r>
  <r>
    <s v="INV-Q-BR-1050"/>
    <x v="51"/>
    <x v="3"/>
    <x v="3"/>
    <x v="5"/>
    <x v="2"/>
    <x v="12"/>
    <n v="36"/>
    <n v="75000"/>
    <n v="28000"/>
    <x v="5"/>
    <x v="1"/>
    <s v="Baru"/>
    <n v="2700000"/>
    <n v="0"/>
    <n v="2700000"/>
    <n v="2699000"/>
    <n v="1691000"/>
  </r>
  <r>
    <s v="INV-B-LM-1147"/>
    <x v="51"/>
    <x v="0"/>
    <x v="0"/>
    <x v="2"/>
    <x v="1"/>
    <x v="3"/>
    <n v="11"/>
    <n v="370000"/>
    <n v="195000"/>
    <x v="2"/>
    <x v="3"/>
    <s v="Lama"/>
    <n v="4070000"/>
    <n v="0"/>
    <n v="4070000"/>
    <n v="4067500"/>
    <n v="1922500"/>
  </r>
  <r>
    <s v="INV-T-BR-1011"/>
    <x v="52"/>
    <x v="2"/>
    <x v="4"/>
    <x v="5"/>
    <x v="3"/>
    <x v="5"/>
    <n v="10"/>
    <n v="110000"/>
    <n v="46000"/>
    <x v="5"/>
    <x v="4"/>
    <s v="Baru"/>
    <n v="1100000"/>
    <n v="0"/>
    <n v="1100000"/>
    <n v="1100000"/>
    <n v="640000"/>
  </r>
  <r>
    <s v="INV-K-BR-1034"/>
    <x v="52"/>
    <x v="1"/>
    <x v="1"/>
    <x v="0"/>
    <x v="1"/>
    <x v="9"/>
    <n v="5"/>
    <n v="280000"/>
    <n v="130000"/>
    <x v="0"/>
    <x v="0"/>
    <s v="Baru"/>
    <n v="1400000"/>
    <n v="0"/>
    <n v="1400000"/>
    <n v="1390000"/>
    <n v="740000"/>
  </r>
  <r>
    <s v="INV-K-BR-1153"/>
    <x v="52"/>
    <x v="3"/>
    <x v="3"/>
    <x v="5"/>
    <x v="2"/>
    <x v="12"/>
    <n v="8"/>
    <n v="75000"/>
    <n v="28000"/>
    <x v="5"/>
    <x v="0"/>
    <s v="Baru"/>
    <n v="600000"/>
    <n v="0"/>
    <n v="600000"/>
    <n v="590000"/>
    <n v="366000"/>
  </r>
  <r>
    <s v="INV-K-LM-1187"/>
    <x v="52"/>
    <x v="0"/>
    <x v="6"/>
    <x v="0"/>
    <x v="2"/>
    <x v="2"/>
    <n v="3"/>
    <n v="145000"/>
    <n v="62000"/>
    <x v="0"/>
    <x v="0"/>
    <s v="Lama"/>
    <n v="435000"/>
    <n v="0"/>
    <n v="435000"/>
    <n v="425000"/>
    <n v="239000"/>
  </r>
  <r>
    <s v="INV-D-BR-1210"/>
    <x v="53"/>
    <x v="0"/>
    <x v="6"/>
    <x v="3"/>
    <x v="0"/>
    <x v="0"/>
    <n v="33"/>
    <n v="2290000"/>
    <n v="1290000"/>
    <x v="3"/>
    <x v="2"/>
    <s v="Baru"/>
    <n v="75570000"/>
    <n v="0.2"/>
    <n v="60456000"/>
    <n v="60449500"/>
    <n v="17879500"/>
  </r>
  <r>
    <s v="INV-Q-LM-1220"/>
    <x v="53"/>
    <x v="2"/>
    <x v="4"/>
    <x v="4"/>
    <x v="0"/>
    <x v="11"/>
    <n v="33"/>
    <n v="1190000"/>
    <n v="630000"/>
    <x v="4"/>
    <x v="1"/>
    <s v="Lama"/>
    <n v="39270000"/>
    <n v="0"/>
    <n v="39270000"/>
    <n v="39269000"/>
    <n v="18479000"/>
  </r>
  <r>
    <s v="INV-Q-LM-1066"/>
    <x v="54"/>
    <x v="2"/>
    <x v="4"/>
    <x v="1"/>
    <x v="0"/>
    <x v="11"/>
    <n v="25"/>
    <n v="1190000"/>
    <n v="630000"/>
    <x v="1"/>
    <x v="1"/>
    <s v="Lama"/>
    <n v="29750000"/>
    <n v="0"/>
    <n v="29750000"/>
    <n v="29749000"/>
    <n v="13999000"/>
  </r>
  <r>
    <s v="INV-B-BR-1137"/>
    <x v="54"/>
    <x v="3"/>
    <x v="3"/>
    <x v="0"/>
    <x v="3"/>
    <x v="14"/>
    <n v="39"/>
    <n v="87000"/>
    <n v="37000"/>
    <x v="0"/>
    <x v="3"/>
    <s v="Baru"/>
    <n v="3393000"/>
    <n v="0"/>
    <n v="3393000"/>
    <n v="3390500"/>
    <n v="1947500"/>
  </r>
  <r>
    <s v="INV-T-BR-1046"/>
    <x v="55"/>
    <x v="1"/>
    <x v="1"/>
    <x v="4"/>
    <x v="2"/>
    <x v="13"/>
    <n v="38"/>
    <n v="60000"/>
    <n v="25000"/>
    <x v="4"/>
    <x v="4"/>
    <s v="Baru"/>
    <n v="2280000"/>
    <n v="0"/>
    <n v="2280000"/>
    <n v="2280000"/>
    <n v="1330000"/>
  </r>
  <r>
    <s v="INV-K-BR-1109"/>
    <x v="55"/>
    <x v="3"/>
    <x v="3"/>
    <x v="0"/>
    <x v="1"/>
    <x v="15"/>
    <n v="40"/>
    <n v="320000"/>
    <n v="160000"/>
    <x v="0"/>
    <x v="0"/>
    <s v="Baru"/>
    <n v="12800000"/>
    <n v="0"/>
    <n v="12800000"/>
    <n v="12790000"/>
    <n v="6390000"/>
  </r>
  <r>
    <s v="INV-B-LM-1039"/>
    <x v="56"/>
    <x v="2"/>
    <x v="4"/>
    <x v="3"/>
    <x v="3"/>
    <x v="5"/>
    <n v="36"/>
    <n v="110000"/>
    <n v="46000"/>
    <x v="3"/>
    <x v="3"/>
    <s v="Lama"/>
    <n v="3960000"/>
    <n v="0"/>
    <n v="3960000"/>
    <n v="3957500"/>
    <n v="2301500"/>
  </r>
  <r>
    <s v="INV-D-LM-1060"/>
    <x v="56"/>
    <x v="0"/>
    <x v="0"/>
    <x v="3"/>
    <x v="1"/>
    <x v="3"/>
    <n v="15"/>
    <n v="370000"/>
    <n v="195000"/>
    <x v="3"/>
    <x v="2"/>
    <s v="Lama"/>
    <n v="5550000"/>
    <n v="0"/>
    <n v="5550000"/>
    <n v="5543500"/>
    <n v="2618500"/>
  </r>
  <r>
    <s v="INV-Q-LM-1096"/>
    <x v="56"/>
    <x v="0"/>
    <x v="0"/>
    <x v="3"/>
    <x v="0"/>
    <x v="11"/>
    <n v="27"/>
    <n v="1190000"/>
    <n v="630000"/>
    <x v="3"/>
    <x v="1"/>
    <s v="Lama"/>
    <n v="32130000"/>
    <n v="0"/>
    <n v="32130000"/>
    <n v="32129000"/>
    <n v="15119000"/>
  </r>
  <r>
    <s v="INV-D-LM-1145"/>
    <x v="57"/>
    <x v="0"/>
    <x v="0"/>
    <x v="3"/>
    <x v="1"/>
    <x v="3"/>
    <n v="37"/>
    <n v="370000"/>
    <n v="195000"/>
    <x v="3"/>
    <x v="2"/>
    <s v="Lama"/>
    <n v="13690000"/>
    <n v="0"/>
    <n v="13690000"/>
    <n v="13683500"/>
    <n v="6468500"/>
  </r>
  <r>
    <s v="INV-K-LM-1024"/>
    <x v="58"/>
    <x v="3"/>
    <x v="3"/>
    <x v="0"/>
    <x v="1"/>
    <x v="15"/>
    <n v="7"/>
    <n v="320000"/>
    <n v="160000"/>
    <x v="0"/>
    <x v="0"/>
    <s v="Lama"/>
    <n v="2240000"/>
    <n v="0"/>
    <n v="2240000"/>
    <n v="2230000"/>
    <n v="1110000"/>
  </r>
  <r>
    <s v="INV-K-BR-1042"/>
    <x v="58"/>
    <x v="3"/>
    <x v="7"/>
    <x v="7"/>
    <x v="2"/>
    <x v="13"/>
    <n v="12"/>
    <n v="60000"/>
    <n v="25000"/>
    <x v="7"/>
    <x v="0"/>
    <s v="Baru"/>
    <n v="720000"/>
    <n v="0"/>
    <n v="720000"/>
    <n v="710000"/>
    <n v="410000"/>
  </r>
  <r>
    <s v="INV-D-LM-1184"/>
    <x v="59"/>
    <x v="1"/>
    <x v="5"/>
    <x v="7"/>
    <x v="1"/>
    <x v="9"/>
    <n v="38"/>
    <n v="280000"/>
    <n v="130000"/>
    <x v="7"/>
    <x v="2"/>
    <s v="Lama"/>
    <n v="10640000"/>
    <n v="0"/>
    <n v="10640000"/>
    <n v="10633500"/>
    <n v="5693500"/>
  </r>
  <r>
    <s v="INV-Q-BR-1188"/>
    <x v="59"/>
    <x v="1"/>
    <x v="8"/>
    <x v="1"/>
    <x v="2"/>
    <x v="2"/>
    <n v="8"/>
    <n v="145000"/>
    <n v="62000"/>
    <x v="1"/>
    <x v="1"/>
    <s v="Baru"/>
    <n v="1160000"/>
    <n v="0"/>
    <n v="1160000"/>
    <n v="1159000"/>
    <n v="663000"/>
  </r>
  <r>
    <s v="INV-B-LM-1195"/>
    <x v="60"/>
    <x v="3"/>
    <x v="7"/>
    <x v="3"/>
    <x v="3"/>
    <x v="5"/>
    <n v="24"/>
    <n v="110000"/>
    <n v="46000"/>
    <x v="3"/>
    <x v="3"/>
    <s v="Lama"/>
    <n v="2640000"/>
    <n v="0"/>
    <n v="2640000"/>
    <n v="2637500"/>
    <n v="1533500"/>
  </r>
  <r>
    <s v="INV-K-LM-1200"/>
    <x v="60"/>
    <x v="2"/>
    <x v="2"/>
    <x v="7"/>
    <x v="1"/>
    <x v="3"/>
    <n v="16"/>
    <n v="370000"/>
    <n v="195000"/>
    <x v="7"/>
    <x v="0"/>
    <s v="Lama"/>
    <n v="5920000"/>
    <n v="0"/>
    <n v="5920000"/>
    <n v="5910000"/>
    <n v="2790000"/>
  </r>
  <r>
    <s v="INV-T-LM-1049"/>
    <x v="61"/>
    <x v="3"/>
    <x v="7"/>
    <x v="1"/>
    <x v="0"/>
    <x v="11"/>
    <n v="8"/>
    <n v="1190000"/>
    <n v="630000"/>
    <x v="1"/>
    <x v="4"/>
    <s v="Lama"/>
    <n v="9520000"/>
    <n v="0"/>
    <n v="9520000"/>
    <n v="9520000"/>
    <n v="4480000"/>
  </r>
  <r>
    <s v="INV-Q-BR-1216"/>
    <x v="61"/>
    <x v="1"/>
    <x v="5"/>
    <x v="2"/>
    <x v="2"/>
    <x v="10"/>
    <n v="24"/>
    <n v="48000"/>
    <n v="19000"/>
    <x v="2"/>
    <x v="1"/>
    <s v="Baru"/>
    <n v="1152000"/>
    <n v="0"/>
    <n v="1152000"/>
    <n v="1151000"/>
    <n v="695000"/>
  </r>
  <r>
    <s v="INV-D-LM-1172"/>
    <x v="62"/>
    <x v="3"/>
    <x v="3"/>
    <x v="4"/>
    <x v="0"/>
    <x v="7"/>
    <n v="33"/>
    <n v="820000"/>
    <n v="415000"/>
    <x v="4"/>
    <x v="2"/>
    <s v="Lama"/>
    <n v="27060000"/>
    <n v="0"/>
    <n v="27060000"/>
    <n v="27053500"/>
    <n v="13358500"/>
  </r>
  <r>
    <s v="INV-B-LM-1006"/>
    <x v="63"/>
    <x v="1"/>
    <x v="8"/>
    <x v="4"/>
    <x v="0"/>
    <x v="0"/>
    <n v="37"/>
    <n v="2290000"/>
    <n v="1290000"/>
    <x v="4"/>
    <x v="3"/>
    <s v="Lama"/>
    <n v="84730000"/>
    <n v="0.15"/>
    <n v="72020500"/>
    <n v="72018000"/>
    <n v="24288000"/>
  </r>
  <r>
    <s v="INV-B-LM-1005"/>
    <x v="64"/>
    <x v="1"/>
    <x v="5"/>
    <x v="1"/>
    <x v="2"/>
    <x v="2"/>
    <n v="3"/>
    <n v="145000"/>
    <n v="62000"/>
    <x v="1"/>
    <x v="3"/>
    <s v="Lama"/>
    <n v="435000"/>
    <n v="0"/>
    <n v="435000"/>
    <n v="432500"/>
    <n v="246500"/>
  </r>
  <r>
    <s v="INV-B-BR-1116"/>
    <x v="64"/>
    <x v="0"/>
    <x v="6"/>
    <x v="4"/>
    <x v="1"/>
    <x v="1"/>
    <n v="26"/>
    <n v="150000"/>
    <n v="75000"/>
    <x v="4"/>
    <x v="3"/>
    <s v="Baru"/>
    <n v="3900000"/>
    <n v="0"/>
    <n v="3900000"/>
    <n v="3897500"/>
    <n v="1947500"/>
  </r>
  <r>
    <s v="INV-B-BR-1152"/>
    <x v="64"/>
    <x v="2"/>
    <x v="4"/>
    <x v="6"/>
    <x v="0"/>
    <x v="7"/>
    <n v="3"/>
    <n v="820000"/>
    <n v="415000"/>
    <x v="6"/>
    <x v="3"/>
    <s v="Baru"/>
    <n v="2460000"/>
    <n v="0"/>
    <n v="2460000"/>
    <n v="2457500"/>
    <n v="1212500"/>
  </r>
  <r>
    <s v="INV-Q-BR-1062"/>
    <x v="65"/>
    <x v="1"/>
    <x v="8"/>
    <x v="5"/>
    <x v="3"/>
    <x v="4"/>
    <n v="1"/>
    <n v="295000"/>
    <n v="138000"/>
    <x v="5"/>
    <x v="1"/>
    <s v="Baru"/>
    <n v="295000"/>
    <n v="0"/>
    <n v="295000"/>
    <n v="294000"/>
    <n v="156000"/>
  </r>
  <r>
    <s v="INV-B-LM-1071"/>
    <x v="66"/>
    <x v="2"/>
    <x v="2"/>
    <x v="7"/>
    <x v="1"/>
    <x v="9"/>
    <n v="20"/>
    <n v="280000"/>
    <n v="130000"/>
    <x v="7"/>
    <x v="3"/>
    <s v="Lama"/>
    <n v="5600000"/>
    <n v="0"/>
    <n v="5600000"/>
    <n v="5597500"/>
    <n v="2997500"/>
  </r>
  <r>
    <s v="INV-T-LM-1045"/>
    <x v="67"/>
    <x v="0"/>
    <x v="6"/>
    <x v="6"/>
    <x v="2"/>
    <x v="2"/>
    <n v="23"/>
    <n v="145000"/>
    <n v="62000"/>
    <x v="6"/>
    <x v="4"/>
    <s v="Lama"/>
    <n v="3335000"/>
    <n v="0"/>
    <n v="3335000"/>
    <n v="3335000"/>
    <n v="1909000"/>
  </r>
  <r>
    <s v="INV-Q-LM-1101"/>
    <x v="68"/>
    <x v="1"/>
    <x v="1"/>
    <x v="6"/>
    <x v="3"/>
    <x v="5"/>
    <n v="8"/>
    <n v="110000"/>
    <n v="46000"/>
    <x v="6"/>
    <x v="1"/>
    <s v="Lama"/>
    <n v="880000"/>
    <n v="0"/>
    <n v="880000"/>
    <n v="879000"/>
    <n v="511000"/>
  </r>
  <r>
    <s v="INV-B-LM-1108"/>
    <x v="68"/>
    <x v="2"/>
    <x v="2"/>
    <x v="0"/>
    <x v="2"/>
    <x v="2"/>
    <n v="22"/>
    <n v="145000"/>
    <n v="62000"/>
    <x v="0"/>
    <x v="3"/>
    <s v="Lama"/>
    <n v="3190000"/>
    <n v="0"/>
    <n v="3190000"/>
    <n v="3187500"/>
    <n v="1823500"/>
  </r>
  <r>
    <s v="INV-Q-BR-1043"/>
    <x v="69"/>
    <x v="2"/>
    <x v="4"/>
    <x v="3"/>
    <x v="1"/>
    <x v="9"/>
    <n v="25"/>
    <n v="280000"/>
    <n v="130000"/>
    <x v="3"/>
    <x v="1"/>
    <s v="Baru"/>
    <n v="7000000"/>
    <n v="0"/>
    <n v="7000000"/>
    <n v="6999000"/>
    <n v="3749000"/>
  </r>
  <r>
    <s v="INV-D-BR-1112"/>
    <x v="69"/>
    <x v="2"/>
    <x v="2"/>
    <x v="3"/>
    <x v="1"/>
    <x v="6"/>
    <n v="40"/>
    <n v="420000"/>
    <n v="225000"/>
    <x v="3"/>
    <x v="2"/>
    <s v="Baru"/>
    <n v="16800000"/>
    <n v="0"/>
    <n v="16800000"/>
    <n v="16793500"/>
    <n v="7793500"/>
  </r>
  <r>
    <s v="INV-B-LM-1055"/>
    <x v="70"/>
    <x v="2"/>
    <x v="4"/>
    <x v="0"/>
    <x v="0"/>
    <x v="7"/>
    <n v="16"/>
    <n v="820000"/>
    <n v="415000"/>
    <x v="0"/>
    <x v="3"/>
    <s v="Lama"/>
    <n v="13120000"/>
    <n v="0"/>
    <n v="13120000"/>
    <n v="13117500"/>
    <n v="6477500"/>
  </r>
  <r>
    <s v="INV-Q-LM-1139"/>
    <x v="70"/>
    <x v="1"/>
    <x v="5"/>
    <x v="5"/>
    <x v="0"/>
    <x v="11"/>
    <n v="17"/>
    <n v="1190000"/>
    <n v="630000"/>
    <x v="5"/>
    <x v="1"/>
    <s v="Lama"/>
    <n v="20230000"/>
    <n v="0"/>
    <n v="20230000"/>
    <n v="20229000"/>
    <n v="9519000"/>
  </r>
  <r>
    <s v="INV-T-LM-1182"/>
    <x v="70"/>
    <x v="2"/>
    <x v="2"/>
    <x v="1"/>
    <x v="1"/>
    <x v="6"/>
    <n v="34"/>
    <n v="420000"/>
    <n v="225000"/>
    <x v="1"/>
    <x v="4"/>
    <s v="Lama"/>
    <n v="14280000"/>
    <n v="0"/>
    <n v="14280000"/>
    <n v="14280000"/>
    <n v="6630000"/>
  </r>
  <r>
    <s v="INV-K-BR-1063"/>
    <x v="71"/>
    <x v="2"/>
    <x v="4"/>
    <x v="7"/>
    <x v="2"/>
    <x v="2"/>
    <n v="28"/>
    <n v="145000"/>
    <n v="62000"/>
    <x v="7"/>
    <x v="0"/>
    <s v="Baru"/>
    <n v="4060000"/>
    <n v="0"/>
    <n v="4060000"/>
    <n v="4050000"/>
    <n v="2314000"/>
  </r>
  <r>
    <s v="INV-D-BR-1073"/>
    <x v="71"/>
    <x v="3"/>
    <x v="7"/>
    <x v="5"/>
    <x v="0"/>
    <x v="0"/>
    <n v="30"/>
    <n v="2290000"/>
    <n v="1290000"/>
    <x v="5"/>
    <x v="2"/>
    <s v="Baru"/>
    <n v="68700000"/>
    <n v="0.2"/>
    <n v="54960000"/>
    <n v="54953500"/>
    <n v="16253500"/>
  </r>
  <r>
    <s v="INV-K-LM-1126"/>
    <x v="71"/>
    <x v="2"/>
    <x v="4"/>
    <x v="6"/>
    <x v="3"/>
    <x v="4"/>
    <n v="40"/>
    <n v="295000"/>
    <n v="138000"/>
    <x v="6"/>
    <x v="0"/>
    <s v="Lama"/>
    <n v="11800000"/>
    <n v="0"/>
    <n v="11800000"/>
    <n v="11790000"/>
    <n v="6270000"/>
  </r>
  <r>
    <s v="INV-K-BR-1058"/>
    <x v="72"/>
    <x v="3"/>
    <x v="7"/>
    <x v="0"/>
    <x v="3"/>
    <x v="5"/>
    <n v="17"/>
    <n v="110000"/>
    <n v="46000"/>
    <x v="0"/>
    <x v="0"/>
    <s v="Baru"/>
    <n v="1870000"/>
    <n v="0"/>
    <n v="1870000"/>
    <n v="1860000"/>
    <n v="1078000"/>
  </r>
  <r>
    <s v="INV-D-LM-1047"/>
    <x v="73"/>
    <x v="0"/>
    <x v="6"/>
    <x v="5"/>
    <x v="3"/>
    <x v="14"/>
    <n v="8"/>
    <n v="87000"/>
    <n v="37000"/>
    <x v="5"/>
    <x v="2"/>
    <s v="Lama"/>
    <n v="696000"/>
    <n v="0"/>
    <n v="696000"/>
    <n v="689500"/>
    <n v="393500"/>
  </r>
  <r>
    <s v="INV-T-LM-1163"/>
    <x v="74"/>
    <x v="2"/>
    <x v="4"/>
    <x v="1"/>
    <x v="2"/>
    <x v="12"/>
    <n v="25"/>
    <n v="75000"/>
    <n v="28000"/>
    <x v="1"/>
    <x v="4"/>
    <s v="Lama"/>
    <n v="1875000"/>
    <n v="0"/>
    <n v="1875000"/>
    <n v="1875000"/>
    <n v="1175000"/>
  </r>
  <r>
    <s v="INV-T-LM-1189"/>
    <x v="74"/>
    <x v="3"/>
    <x v="3"/>
    <x v="3"/>
    <x v="3"/>
    <x v="4"/>
    <n v="32"/>
    <n v="295000"/>
    <n v="138000"/>
    <x v="3"/>
    <x v="4"/>
    <s v="Lama"/>
    <n v="9440000"/>
    <n v="0"/>
    <n v="9440000"/>
    <n v="9440000"/>
    <n v="5024000"/>
  </r>
  <r>
    <s v="INV-Q-BR-1159"/>
    <x v="75"/>
    <x v="0"/>
    <x v="6"/>
    <x v="2"/>
    <x v="0"/>
    <x v="0"/>
    <n v="33"/>
    <n v="2290000"/>
    <n v="1290000"/>
    <x v="2"/>
    <x v="1"/>
    <s v="Baru"/>
    <n v="75570000"/>
    <n v="0.2"/>
    <n v="60456000"/>
    <n v="60455000"/>
    <n v="17885000"/>
  </r>
  <r>
    <s v="INV-Q-BR-1162"/>
    <x v="76"/>
    <x v="1"/>
    <x v="5"/>
    <x v="6"/>
    <x v="3"/>
    <x v="14"/>
    <n v="12"/>
    <n v="87000"/>
    <n v="37000"/>
    <x v="6"/>
    <x v="1"/>
    <s v="Baru"/>
    <n v="1044000"/>
    <n v="0"/>
    <n v="1044000"/>
    <n v="1043000"/>
    <n v="599000"/>
  </r>
  <r>
    <s v="INV-K-LM-1015"/>
    <x v="77"/>
    <x v="1"/>
    <x v="8"/>
    <x v="4"/>
    <x v="3"/>
    <x v="14"/>
    <n v="12"/>
    <n v="87000"/>
    <n v="37000"/>
    <x v="4"/>
    <x v="0"/>
    <s v="Lama"/>
    <n v="1044000"/>
    <n v="0"/>
    <n v="1044000"/>
    <n v="1034000"/>
    <n v="590000"/>
  </r>
  <r>
    <s v="INV-T-LM-1057"/>
    <x v="77"/>
    <x v="2"/>
    <x v="4"/>
    <x v="1"/>
    <x v="3"/>
    <x v="5"/>
    <n v="40"/>
    <n v="110000"/>
    <n v="46000"/>
    <x v="1"/>
    <x v="4"/>
    <s v="Lama"/>
    <n v="4400000"/>
    <n v="0"/>
    <n v="4400000"/>
    <n v="4400000"/>
    <n v="2560000"/>
  </r>
  <r>
    <s v="INV-Q-LM-1214"/>
    <x v="78"/>
    <x v="2"/>
    <x v="2"/>
    <x v="1"/>
    <x v="1"/>
    <x v="15"/>
    <n v="4"/>
    <n v="320000"/>
    <n v="160000"/>
    <x v="1"/>
    <x v="1"/>
    <s v="Lama"/>
    <n v="1280000"/>
    <n v="0"/>
    <n v="1280000"/>
    <n v="1279000"/>
    <n v="639000"/>
  </r>
  <r>
    <s v="INV-B-LM-1161"/>
    <x v="79"/>
    <x v="1"/>
    <x v="5"/>
    <x v="7"/>
    <x v="0"/>
    <x v="11"/>
    <n v="39"/>
    <n v="1190000"/>
    <n v="630000"/>
    <x v="7"/>
    <x v="3"/>
    <s v="Lama"/>
    <n v="46410000"/>
    <n v="0"/>
    <n v="46410000"/>
    <n v="46407500"/>
    <n v="21837500"/>
  </r>
  <r>
    <s v="INV-D-BR-1014"/>
    <x v="80"/>
    <x v="0"/>
    <x v="0"/>
    <x v="6"/>
    <x v="2"/>
    <x v="2"/>
    <n v="22"/>
    <n v="145000"/>
    <n v="62000"/>
    <x v="6"/>
    <x v="2"/>
    <s v="Baru"/>
    <n v="3190000"/>
    <n v="0"/>
    <n v="3190000"/>
    <n v="3183500"/>
    <n v="1819500"/>
  </r>
  <r>
    <s v="INV-Q-BR-1121"/>
    <x v="80"/>
    <x v="1"/>
    <x v="1"/>
    <x v="7"/>
    <x v="0"/>
    <x v="7"/>
    <n v="36"/>
    <n v="820000"/>
    <n v="415000"/>
    <x v="7"/>
    <x v="1"/>
    <s v="Baru"/>
    <n v="29520000"/>
    <n v="0.1"/>
    <n v="26568000"/>
    <n v="26567000"/>
    <n v="11627000"/>
  </r>
  <r>
    <s v="INV-Q-BR-1211"/>
    <x v="80"/>
    <x v="1"/>
    <x v="5"/>
    <x v="0"/>
    <x v="2"/>
    <x v="16"/>
    <n v="10"/>
    <n v="36000"/>
    <n v="13000"/>
    <x v="0"/>
    <x v="1"/>
    <s v="Baru"/>
    <n v="360000"/>
    <n v="0"/>
    <n v="360000"/>
    <n v="359000"/>
    <n v="229000"/>
  </r>
  <r>
    <s v="INV-Q-LM-1095"/>
    <x v="81"/>
    <x v="3"/>
    <x v="3"/>
    <x v="3"/>
    <x v="0"/>
    <x v="8"/>
    <n v="32"/>
    <n v="1010000"/>
    <n v="535000"/>
    <x v="3"/>
    <x v="1"/>
    <s v="Lama"/>
    <n v="32320000"/>
    <n v="0"/>
    <n v="32320000"/>
    <n v="32319000"/>
    <n v="15199000"/>
  </r>
  <r>
    <s v="INV-B-LM-1168"/>
    <x v="82"/>
    <x v="2"/>
    <x v="2"/>
    <x v="3"/>
    <x v="1"/>
    <x v="3"/>
    <n v="5"/>
    <n v="370000"/>
    <n v="195000"/>
    <x v="3"/>
    <x v="3"/>
    <s v="Lama"/>
    <n v="1850000"/>
    <n v="0"/>
    <n v="1850000"/>
    <n v="1847500"/>
    <n v="872500"/>
  </r>
  <r>
    <s v="INV-Q-LM-1099"/>
    <x v="83"/>
    <x v="3"/>
    <x v="7"/>
    <x v="7"/>
    <x v="2"/>
    <x v="2"/>
    <n v="36"/>
    <n v="145000"/>
    <n v="62000"/>
    <x v="7"/>
    <x v="1"/>
    <s v="Lama"/>
    <n v="5220000"/>
    <n v="0"/>
    <n v="5220000"/>
    <n v="5219000"/>
    <n v="2987000"/>
  </r>
  <r>
    <s v="INV-Q-LM-1113"/>
    <x v="83"/>
    <x v="2"/>
    <x v="2"/>
    <x v="0"/>
    <x v="2"/>
    <x v="2"/>
    <n v="30"/>
    <n v="145000"/>
    <n v="62000"/>
    <x v="0"/>
    <x v="1"/>
    <s v="Lama"/>
    <n v="4350000"/>
    <n v="0"/>
    <n v="4350000"/>
    <n v="4349000"/>
    <n v="2489000"/>
  </r>
  <r>
    <s v="INV-B-LM-1208"/>
    <x v="83"/>
    <x v="0"/>
    <x v="6"/>
    <x v="0"/>
    <x v="2"/>
    <x v="16"/>
    <n v="26"/>
    <n v="36000"/>
    <n v="13000"/>
    <x v="0"/>
    <x v="3"/>
    <s v="Lama"/>
    <n v="936000"/>
    <n v="0"/>
    <n v="936000"/>
    <n v="933500"/>
    <n v="595500"/>
  </r>
  <r>
    <s v="INV-T-LM-1213"/>
    <x v="83"/>
    <x v="3"/>
    <x v="3"/>
    <x v="4"/>
    <x v="3"/>
    <x v="4"/>
    <n v="2"/>
    <n v="295000"/>
    <n v="138000"/>
    <x v="4"/>
    <x v="4"/>
    <s v="Lama"/>
    <n v="590000"/>
    <n v="0"/>
    <n v="590000"/>
    <n v="590000"/>
    <n v="314000"/>
  </r>
  <r>
    <s v="INV-D-BR-1107"/>
    <x v="84"/>
    <x v="0"/>
    <x v="0"/>
    <x v="0"/>
    <x v="1"/>
    <x v="9"/>
    <n v="34"/>
    <n v="280000"/>
    <n v="130000"/>
    <x v="0"/>
    <x v="2"/>
    <s v="Baru"/>
    <n v="9520000"/>
    <n v="0"/>
    <n v="9520000"/>
    <n v="9513500"/>
    <n v="5093500"/>
  </r>
  <r>
    <s v="INV-B-BR-1038"/>
    <x v="85"/>
    <x v="3"/>
    <x v="3"/>
    <x v="2"/>
    <x v="1"/>
    <x v="6"/>
    <n v="28"/>
    <n v="420000"/>
    <n v="225000"/>
    <x v="2"/>
    <x v="3"/>
    <s v="Baru"/>
    <n v="11760000"/>
    <n v="0"/>
    <n v="11760000"/>
    <n v="11757500"/>
    <n v="5457500"/>
  </r>
  <r>
    <s v="INV-D-BR-1169"/>
    <x v="85"/>
    <x v="1"/>
    <x v="8"/>
    <x v="1"/>
    <x v="1"/>
    <x v="3"/>
    <n v="39"/>
    <n v="370000"/>
    <n v="195000"/>
    <x v="1"/>
    <x v="2"/>
    <s v="Baru"/>
    <n v="14430000"/>
    <n v="0"/>
    <n v="14430000"/>
    <n v="14423500"/>
    <n v="6818500"/>
  </r>
  <r>
    <s v="INV-K-BR-1217"/>
    <x v="85"/>
    <x v="3"/>
    <x v="3"/>
    <x v="6"/>
    <x v="1"/>
    <x v="3"/>
    <n v="7"/>
    <n v="370000"/>
    <n v="195000"/>
    <x v="6"/>
    <x v="0"/>
    <s v="Baru"/>
    <n v="2590000"/>
    <n v="0"/>
    <n v="2590000"/>
    <n v="2580000"/>
    <n v="1215000"/>
  </r>
  <r>
    <s v="INV-T-BR-1031"/>
    <x v="86"/>
    <x v="1"/>
    <x v="1"/>
    <x v="6"/>
    <x v="1"/>
    <x v="6"/>
    <n v="16"/>
    <n v="420000"/>
    <n v="225000"/>
    <x v="6"/>
    <x v="4"/>
    <s v="Baru"/>
    <n v="6720000"/>
    <n v="0"/>
    <n v="6720000"/>
    <n v="6720000"/>
    <n v="3120000"/>
  </r>
  <r>
    <s v="INV-D-LM-1156"/>
    <x v="86"/>
    <x v="1"/>
    <x v="8"/>
    <x v="7"/>
    <x v="0"/>
    <x v="0"/>
    <n v="23"/>
    <n v="2290000"/>
    <n v="1290000"/>
    <x v="7"/>
    <x v="2"/>
    <s v="Lama"/>
    <n v="52670000"/>
    <n v="0.15"/>
    <n v="44769500"/>
    <n v="44763000"/>
    <n v="15093000"/>
  </r>
  <r>
    <s v="INV-T-LM-1098"/>
    <x v="87"/>
    <x v="1"/>
    <x v="8"/>
    <x v="0"/>
    <x v="0"/>
    <x v="8"/>
    <n v="4"/>
    <n v="1010000"/>
    <n v="535000"/>
    <x v="0"/>
    <x v="4"/>
    <s v="Lama"/>
    <n v="4040000"/>
    <n v="0"/>
    <n v="4040000"/>
    <n v="4040000"/>
    <n v="1900000"/>
  </r>
  <r>
    <s v="INV-K-BR-1059"/>
    <x v="88"/>
    <x v="3"/>
    <x v="7"/>
    <x v="4"/>
    <x v="3"/>
    <x v="5"/>
    <n v="5"/>
    <n v="110000"/>
    <n v="46000"/>
    <x v="4"/>
    <x v="0"/>
    <s v="Baru"/>
    <n v="550000"/>
    <n v="0"/>
    <n v="550000"/>
    <n v="540000"/>
    <n v="310000"/>
  </r>
  <r>
    <s v="INV-D-BR-1074"/>
    <x v="88"/>
    <x v="0"/>
    <x v="6"/>
    <x v="0"/>
    <x v="0"/>
    <x v="8"/>
    <n v="38"/>
    <n v="1010000"/>
    <n v="535000"/>
    <x v="0"/>
    <x v="2"/>
    <s v="Baru"/>
    <n v="38380000"/>
    <n v="0.1"/>
    <n v="34542000"/>
    <n v="34535500"/>
    <n v="14205500"/>
  </r>
  <r>
    <s v="INV-T-BR-1133"/>
    <x v="89"/>
    <x v="1"/>
    <x v="8"/>
    <x v="6"/>
    <x v="3"/>
    <x v="4"/>
    <n v="29"/>
    <n v="295000"/>
    <n v="138000"/>
    <x v="6"/>
    <x v="4"/>
    <s v="Baru"/>
    <n v="8555000"/>
    <n v="0"/>
    <n v="8555000"/>
    <n v="8555000"/>
    <n v="4553000"/>
  </r>
  <r>
    <s v="INV-B-LM-1155"/>
    <x v="89"/>
    <x v="1"/>
    <x v="5"/>
    <x v="4"/>
    <x v="0"/>
    <x v="11"/>
    <n v="15"/>
    <n v="1190000"/>
    <n v="630000"/>
    <x v="4"/>
    <x v="3"/>
    <s v="Lama"/>
    <n v="17850000"/>
    <n v="0"/>
    <n v="17850000"/>
    <n v="17847500"/>
    <n v="8397500"/>
  </r>
  <r>
    <s v="INV-Q-BR-1202"/>
    <x v="89"/>
    <x v="3"/>
    <x v="3"/>
    <x v="6"/>
    <x v="1"/>
    <x v="3"/>
    <n v="21"/>
    <n v="370000"/>
    <n v="195000"/>
    <x v="6"/>
    <x v="1"/>
    <s v="Baru"/>
    <n v="7770000"/>
    <n v="0"/>
    <n v="7770000"/>
    <n v="7769000"/>
    <n v="3674000"/>
  </r>
  <r>
    <s v="INV-B-LM-1120"/>
    <x v="90"/>
    <x v="0"/>
    <x v="0"/>
    <x v="4"/>
    <x v="3"/>
    <x v="4"/>
    <n v="19"/>
    <n v="295000"/>
    <n v="138000"/>
    <x v="4"/>
    <x v="3"/>
    <s v="Lama"/>
    <n v="5605000"/>
    <n v="0"/>
    <n v="5605000"/>
    <n v="5602500"/>
    <n v="2980500"/>
  </r>
  <r>
    <s v="INV-Q-BR-1179"/>
    <x v="90"/>
    <x v="3"/>
    <x v="7"/>
    <x v="4"/>
    <x v="2"/>
    <x v="16"/>
    <n v="20"/>
    <n v="36000"/>
    <n v="13000"/>
    <x v="4"/>
    <x v="1"/>
    <s v="Baru"/>
    <n v="720000"/>
    <n v="0"/>
    <n v="720000"/>
    <n v="719000"/>
    <n v="459000"/>
  </r>
  <r>
    <s v="INV-B-LM-1012"/>
    <x v="91"/>
    <x v="0"/>
    <x v="6"/>
    <x v="5"/>
    <x v="0"/>
    <x v="0"/>
    <n v="15"/>
    <n v="2290000"/>
    <n v="1290000"/>
    <x v="5"/>
    <x v="3"/>
    <s v="Lama"/>
    <n v="34350000"/>
    <n v="0"/>
    <n v="34350000"/>
    <n v="34347500"/>
    <n v="14997500"/>
  </r>
  <r>
    <s v="INV-Q-BR-1105"/>
    <x v="92"/>
    <x v="3"/>
    <x v="3"/>
    <x v="1"/>
    <x v="2"/>
    <x v="10"/>
    <n v="16"/>
    <n v="48000"/>
    <n v="19000"/>
    <x v="1"/>
    <x v="1"/>
    <s v="Baru"/>
    <n v="768000"/>
    <n v="0"/>
    <n v="768000"/>
    <n v="767000"/>
    <n v="463000"/>
  </r>
  <r>
    <s v="INV-Q-LM-1128"/>
    <x v="92"/>
    <x v="0"/>
    <x v="0"/>
    <x v="5"/>
    <x v="2"/>
    <x v="2"/>
    <n v="13"/>
    <n v="145000"/>
    <n v="62000"/>
    <x v="5"/>
    <x v="1"/>
    <s v="Lama"/>
    <n v="1885000"/>
    <n v="0"/>
    <n v="1885000"/>
    <n v="1884000"/>
    <n v="1078000"/>
  </r>
  <r>
    <s v="INV-Q-BR-1191"/>
    <x v="92"/>
    <x v="0"/>
    <x v="6"/>
    <x v="6"/>
    <x v="1"/>
    <x v="6"/>
    <n v="21"/>
    <n v="420000"/>
    <n v="225000"/>
    <x v="6"/>
    <x v="1"/>
    <s v="Baru"/>
    <n v="8820000"/>
    <n v="0"/>
    <n v="8820000"/>
    <n v="8819000"/>
    <n v="4094000"/>
  </r>
  <r>
    <s v="INV-Q-BR-1097"/>
    <x v="93"/>
    <x v="1"/>
    <x v="5"/>
    <x v="6"/>
    <x v="0"/>
    <x v="11"/>
    <n v="17"/>
    <n v="1190000"/>
    <n v="630000"/>
    <x v="6"/>
    <x v="1"/>
    <s v="Baru"/>
    <n v="20230000"/>
    <n v="0.1"/>
    <n v="18207000"/>
    <n v="18206000"/>
    <n v="7496000"/>
  </r>
  <r>
    <s v="INV-K-LM-1037"/>
    <x v="94"/>
    <x v="2"/>
    <x v="4"/>
    <x v="4"/>
    <x v="2"/>
    <x v="10"/>
    <n v="22"/>
    <n v="48000"/>
    <n v="19000"/>
    <x v="4"/>
    <x v="0"/>
    <s v="Lama"/>
    <n v="1056000"/>
    <n v="0"/>
    <n v="1056000"/>
    <n v="1046000"/>
    <n v="628000"/>
  </r>
  <r>
    <s v="INV-B-BR-1183"/>
    <x v="94"/>
    <x v="1"/>
    <x v="5"/>
    <x v="0"/>
    <x v="1"/>
    <x v="15"/>
    <n v="25"/>
    <n v="320000"/>
    <n v="160000"/>
    <x v="0"/>
    <x v="3"/>
    <s v="Baru"/>
    <n v="8000000"/>
    <n v="0"/>
    <n v="8000000"/>
    <n v="7997500"/>
    <n v="3997500"/>
  </r>
  <r>
    <s v="INV-Q-BR-1201"/>
    <x v="94"/>
    <x v="0"/>
    <x v="6"/>
    <x v="3"/>
    <x v="1"/>
    <x v="6"/>
    <n v="5"/>
    <n v="420000"/>
    <n v="225000"/>
    <x v="3"/>
    <x v="1"/>
    <s v="Baru"/>
    <n v="2100000"/>
    <n v="0"/>
    <n v="2100000"/>
    <n v="2099000"/>
    <n v="974000"/>
  </r>
  <r>
    <s v="INV-Q-LM-1141"/>
    <x v="95"/>
    <x v="1"/>
    <x v="8"/>
    <x v="1"/>
    <x v="1"/>
    <x v="9"/>
    <n v="27"/>
    <n v="280000"/>
    <n v="130000"/>
    <x v="1"/>
    <x v="1"/>
    <s v="Lama"/>
    <n v="7560000"/>
    <n v="0"/>
    <n v="7560000"/>
    <n v="7559000"/>
    <n v="4049000"/>
  </r>
  <r>
    <s v="INV-B-BR-1218"/>
    <x v="95"/>
    <x v="0"/>
    <x v="0"/>
    <x v="7"/>
    <x v="3"/>
    <x v="14"/>
    <n v="26"/>
    <n v="87000"/>
    <n v="37000"/>
    <x v="7"/>
    <x v="3"/>
    <s v="Baru"/>
    <n v="2262000"/>
    <n v="0"/>
    <n v="2262000"/>
    <n v="2259500"/>
    <n v="1297500"/>
  </r>
  <r>
    <s v="INV-B-LM-1003"/>
    <x v="96"/>
    <x v="2"/>
    <x v="4"/>
    <x v="7"/>
    <x v="3"/>
    <x v="5"/>
    <n v="38"/>
    <n v="110000"/>
    <n v="46000"/>
    <x v="7"/>
    <x v="3"/>
    <s v="Lama"/>
    <n v="4180000"/>
    <n v="0"/>
    <n v="4180000"/>
    <n v="4177500"/>
    <n v="2429500"/>
  </r>
  <r>
    <s v="INV-K-LM-1144"/>
    <x v="96"/>
    <x v="1"/>
    <x v="8"/>
    <x v="4"/>
    <x v="1"/>
    <x v="1"/>
    <n v="12"/>
    <n v="150000"/>
    <n v="75000"/>
    <x v="4"/>
    <x v="0"/>
    <s v="Lama"/>
    <n v="1800000"/>
    <n v="0"/>
    <n v="1800000"/>
    <n v="1790000"/>
    <n v="890000"/>
  </r>
  <r>
    <s v="INV-B-LM-1069"/>
    <x v="97"/>
    <x v="2"/>
    <x v="4"/>
    <x v="4"/>
    <x v="0"/>
    <x v="0"/>
    <n v="11"/>
    <n v="2290000"/>
    <n v="1290000"/>
    <x v="4"/>
    <x v="3"/>
    <s v="Lama"/>
    <n v="25190000"/>
    <n v="0"/>
    <n v="25190000"/>
    <n v="25187500"/>
    <n v="10997500"/>
  </r>
  <r>
    <s v="INV-B-LM-1072"/>
    <x v="97"/>
    <x v="1"/>
    <x v="5"/>
    <x v="5"/>
    <x v="0"/>
    <x v="0"/>
    <n v="5"/>
    <n v="2290000"/>
    <n v="1290000"/>
    <x v="5"/>
    <x v="3"/>
    <s v="Lama"/>
    <n v="11450000"/>
    <n v="0"/>
    <n v="11450000"/>
    <n v="11447500"/>
    <n v="4997500"/>
  </r>
  <r>
    <s v="INV-B-LM-1196"/>
    <x v="98"/>
    <x v="2"/>
    <x v="4"/>
    <x v="5"/>
    <x v="0"/>
    <x v="11"/>
    <n v="18"/>
    <n v="1190000"/>
    <n v="630000"/>
    <x v="5"/>
    <x v="3"/>
    <s v="Lama"/>
    <n v="21420000"/>
    <n v="0"/>
    <n v="21420000"/>
    <n v="21417500"/>
    <n v="10077500"/>
  </r>
  <r>
    <s v="INV-T-BR-1181"/>
    <x v="99"/>
    <x v="2"/>
    <x v="2"/>
    <x v="4"/>
    <x v="0"/>
    <x v="8"/>
    <n v="1"/>
    <n v="1010000"/>
    <n v="535000"/>
    <x v="4"/>
    <x v="4"/>
    <s v="Baru"/>
    <n v="1010000"/>
    <n v="0"/>
    <n v="1010000"/>
    <n v="1010000"/>
    <n v="475000"/>
  </r>
  <r>
    <s v="INV-Q-BR-1065"/>
    <x v="100"/>
    <x v="1"/>
    <x v="1"/>
    <x v="5"/>
    <x v="1"/>
    <x v="3"/>
    <n v="30"/>
    <n v="370000"/>
    <n v="195000"/>
    <x v="5"/>
    <x v="1"/>
    <s v="Baru"/>
    <n v="11100000"/>
    <n v="0"/>
    <n v="11100000"/>
    <n v="11099000"/>
    <n v="5249000"/>
  </r>
  <r>
    <s v="INV-B-BR-1082"/>
    <x v="101"/>
    <x v="0"/>
    <x v="0"/>
    <x v="7"/>
    <x v="2"/>
    <x v="12"/>
    <n v="15"/>
    <n v="75000"/>
    <n v="28000"/>
    <x v="7"/>
    <x v="3"/>
    <s v="Baru"/>
    <n v="1125000"/>
    <n v="0"/>
    <n v="1125000"/>
    <n v="1122500"/>
    <n v="702500"/>
  </r>
  <r>
    <s v="INV-Q-LM-1087"/>
    <x v="101"/>
    <x v="2"/>
    <x v="4"/>
    <x v="0"/>
    <x v="3"/>
    <x v="5"/>
    <n v="20"/>
    <n v="110000"/>
    <n v="46000"/>
    <x v="0"/>
    <x v="1"/>
    <s v="Lama"/>
    <n v="2200000"/>
    <n v="0"/>
    <n v="2200000"/>
    <n v="2199000"/>
    <n v="1279000"/>
  </r>
  <r>
    <s v="INV-D-LM-1017"/>
    <x v="102"/>
    <x v="0"/>
    <x v="6"/>
    <x v="2"/>
    <x v="1"/>
    <x v="9"/>
    <n v="24"/>
    <n v="280000"/>
    <n v="130000"/>
    <x v="2"/>
    <x v="2"/>
    <s v="Lama"/>
    <n v="6720000"/>
    <n v="0"/>
    <n v="6720000"/>
    <n v="6713500"/>
    <n v="3593500"/>
  </r>
  <r>
    <s v="INV-K-LM-1192"/>
    <x v="103"/>
    <x v="3"/>
    <x v="7"/>
    <x v="0"/>
    <x v="0"/>
    <x v="0"/>
    <n v="29"/>
    <n v="2290000"/>
    <n v="1290000"/>
    <x v="0"/>
    <x v="0"/>
    <s v="Lama"/>
    <n v="66410000"/>
    <n v="0.15"/>
    <n v="56448500"/>
    <n v="56438500"/>
    <n v="19028500"/>
  </r>
  <r>
    <s v="INV-D-LM-1052"/>
    <x v="104"/>
    <x v="0"/>
    <x v="6"/>
    <x v="0"/>
    <x v="3"/>
    <x v="5"/>
    <n v="14"/>
    <n v="110000"/>
    <n v="46000"/>
    <x v="0"/>
    <x v="2"/>
    <s v="Lama"/>
    <n v="1540000"/>
    <n v="0"/>
    <n v="1540000"/>
    <n v="1533500"/>
    <n v="889500"/>
  </r>
  <r>
    <s v="INV-K-BR-1117"/>
    <x v="104"/>
    <x v="3"/>
    <x v="3"/>
    <x v="7"/>
    <x v="0"/>
    <x v="0"/>
    <n v="15"/>
    <n v="2290000"/>
    <n v="1290000"/>
    <x v="7"/>
    <x v="0"/>
    <s v="Baru"/>
    <n v="34350000"/>
    <n v="0.1"/>
    <n v="30915000"/>
    <n v="30905000"/>
    <n v="11555000"/>
  </r>
  <r>
    <s v="INV-D-LM-1171"/>
    <x v="105"/>
    <x v="0"/>
    <x v="6"/>
    <x v="7"/>
    <x v="2"/>
    <x v="16"/>
    <n v="20"/>
    <n v="36000"/>
    <n v="13000"/>
    <x v="7"/>
    <x v="2"/>
    <s v="Lama"/>
    <n v="720000"/>
    <n v="0"/>
    <n v="720000"/>
    <n v="713500"/>
    <n v="453500"/>
  </r>
  <r>
    <s v="INV-T-BR-1178"/>
    <x v="106"/>
    <x v="1"/>
    <x v="1"/>
    <x v="2"/>
    <x v="2"/>
    <x v="2"/>
    <n v="14"/>
    <n v="145000"/>
    <n v="62000"/>
    <x v="2"/>
    <x v="4"/>
    <s v="Baru"/>
    <n v="2030000"/>
    <n v="0"/>
    <n v="2030000"/>
    <n v="2030000"/>
    <n v="1162000"/>
  </r>
  <r>
    <s v="INV-D-LM-1193"/>
    <x v="106"/>
    <x v="3"/>
    <x v="3"/>
    <x v="2"/>
    <x v="1"/>
    <x v="6"/>
    <n v="26"/>
    <n v="420000"/>
    <n v="225000"/>
    <x v="2"/>
    <x v="2"/>
    <s v="Lama"/>
    <n v="10920000"/>
    <n v="0"/>
    <n v="10920000"/>
    <n v="10913500"/>
    <n v="5063500"/>
  </r>
  <r>
    <s v="INV-D-BR-1212"/>
    <x v="106"/>
    <x v="3"/>
    <x v="7"/>
    <x v="3"/>
    <x v="0"/>
    <x v="11"/>
    <n v="37"/>
    <n v="1190000"/>
    <n v="630000"/>
    <x v="3"/>
    <x v="2"/>
    <s v="Baru"/>
    <n v="44030000"/>
    <n v="0.1"/>
    <n v="39627000"/>
    <n v="39620500"/>
    <n v="16310500"/>
  </r>
  <r>
    <s v="INV-B-LM-1091"/>
    <x v="107"/>
    <x v="2"/>
    <x v="4"/>
    <x v="6"/>
    <x v="2"/>
    <x v="16"/>
    <n v="10"/>
    <n v="36000"/>
    <n v="13000"/>
    <x v="6"/>
    <x v="3"/>
    <s v="Lama"/>
    <n v="360000"/>
    <n v="0"/>
    <n v="360000"/>
    <n v="357500"/>
    <n v="227500"/>
  </r>
  <r>
    <s v="INV-K-BR-1146"/>
    <x v="108"/>
    <x v="1"/>
    <x v="1"/>
    <x v="7"/>
    <x v="0"/>
    <x v="7"/>
    <n v="27"/>
    <n v="820000"/>
    <n v="415000"/>
    <x v="7"/>
    <x v="0"/>
    <s v="Baru"/>
    <n v="22140000"/>
    <n v="0.1"/>
    <n v="19926000"/>
    <n v="19916000"/>
    <n v="8711000"/>
  </r>
  <r>
    <s v="INV-T-LM-1001"/>
    <x v="109"/>
    <x v="1"/>
    <x v="1"/>
    <x v="4"/>
    <x v="2"/>
    <x v="16"/>
    <n v="15"/>
    <n v="36000"/>
    <n v="13000"/>
    <x v="4"/>
    <x v="4"/>
    <s v="Lama"/>
    <n v="540000"/>
    <n v="0"/>
    <n v="540000"/>
    <n v="540000"/>
    <n v="345000"/>
  </r>
  <r>
    <s v="INV-B-LM-1016"/>
    <x v="109"/>
    <x v="2"/>
    <x v="2"/>
    <x v="1"/>
    <x v="2"/>
    <x v="13"/>
    <n v="35"/>
    <n v="60000"/>
    <n v="25000"/>
    <x v="1"/>
    <x v="3"/>
    <s v="Lama"/>
    <n v="2100000"/>
    <n v="0"/>
    <n v="2100000"/>
    <n v="2097500"/>
    <n v="1222500"/>
  </r>
  <r>
    <s v="INV-D-LM-1084"/>
    <x v="109"/>
    <x v="3"/>
    <x v="7"/>
    <x v="2"/>
    <x v="2"/>
    <x v="12"/>
    <n v="31"/>
    <n v="75000"/>
    <n v="28000"/>
    <x v="2"/>
    <x v="2"/>
    <s v="Lama"/>
    <n v="2325000"/>
    <n v="0"/>
    <n v="2325000"/>
    <n v="2318500"/>
    <n v="1450500"/>
  </r>
  <r>
    <s v="INV-T-BR-1180"/>
    <x v="109"/>
    <x v="3"/>
    <x v="7"/>
    <x v="6"/>
    <x v="3"/>
    <x v="4"/>
    <n v="39"/>
    <n v="295000"/>
    <n v="138000"/>
    <x v="6"/>
    <x v="4"/>
    <s v="Baru"/>
    <n v="11505000"/>
    <n v="0"/>
    <n v="11505000"/>
    <n v="11505000"/>
    <n v="6123000"/>
  </r>
  <r>
    <s v="INV-Q-LM-1138"/>
    <x v="110"/>
    <x v="2"/>
    <x v="4"/>
    <x v="0"/>
    <x v="2"/>
    <x v="16"/>
    <n v="27"/>
    <n v="36000"/>
    <n v="13000"/>
    <x v="0"/>
    <x v="1"/>
    <s v="Lama"/>
    <n v="972000"/>
    <n v="0"/>
    <n v="972000"/>
    <n v="971000"/>
    <n v="620000"/>
  </r>
  <r>
    <s v="INV-D-BR-1053"/>
    <x v="111"/>
    <x v="1"/>
    <x v="5"/>
    <x v="1"/>
    <x v="1"/>
    <x v="6"/>
    <n v="16"/>
    <n v="420000"/>
    <n v="225000"/>
    <x v="1"/>
    <x v="2"/>
    <s v="Baru"/>
    <n v="6720000"/>
    <n v="0"/>
    <n v="6720000"/>
    <n v="6713500"/>
    <n v="3113500"/>
  </r>
  <r>
    <s v="INV-Q-LM-1165"/>
    <x v="111"/>
    <x v="2"/>
    <x v="4"/>
    <x v="6"/>
    <x v="1"/>
    <x v="3"/>
    <n v="23"/>
    <n v="370000"/>
    <n v="195000"/>
    <x v="6"/>
    <x v="1"/>
    <s v="Lama"/>
    <n v="8510000"/>
    <n v="0"/>
    <n v="8510000"/>
    <n v="8509000"/>
    <n v="4024000"/>
  </r>
  <r>
    <s v="INV-K-BR-1007"/>
    <x v="112"/>
    <x v="2"/>
    <x v="4"/>
    <x v="6"/>
    <x v="2"/>
    <x v="16"/>
    <n v="7"/>
    <n v="36000"/>
    <n v="13000"/>
    <x v="6"/>
    <x v="0"/>
    <s v="Baru"/>
    <n v="252000"/>
    <n v="0"/>
    <n v="252000"/>
    <n v="242000"/>
    <n v="151000"/>
  </r>
  <r>
    <s v="INV-T-LM-1029"/>
    <x v="112"/>
    <x v="3"/>
    <x v="7"/>
    <x v="7"/>
    <x v="2"/>
    <x v="12"/>
    <n v="14"/>
    <n v="75000"/>
    <n v="28000"/>
    <x v="7"/>
    <x v="4"/>
    <s v="Lama"/>
    <n v="1050000"/>
    <n v="0"/>
    <n v="1050000"/>
    <n v="1050000"/>
    <n v="658000"/>
  </r>
  <r>
    <s v="INV-Q-BR-1064"/>
    <x v="113"/>
    <x v="3"/>
    <x v="7"/>
    <x v="0"/>
    <x v="1"/>
    <x v="3"/>
    <n v="40"/>
    <n v="370000"/>
    <n v="195000"/>
    <x v="0"/>
    <x v="1"/>
    <s v="Baru"/>
    <n v="14800000"/>
    <n v="0"/>
    <n v="14800000"/>
    <n v="14799000"/>
    <n v="6999000"/>
  </r>
  <r>
    <s v="INV-T-BR-1051"/>
    <x v="114"/>
    <x v="2"/>
    <x v="4"/>
    <x v="5"/>
    <x v="1"/>
    <x v="1"/>
    <n v="20"/>
    <n v="150000"/>
    <n v="75000"/>
    <x v="5"/>
    <x v="4"/>
    <s v="Baru"/>
    <n v="3000000"/>
    <n v="0"/>
    <n v="3000000"/>
    <n v="3000000"/>
    <n v="1500000"/>
  </r>
  <r>
    <s v="INV-D-LM-1118"/>
    <x v="114"/>
    <x v="2"/>
    <x v="2"/>
    <x v="2"/>
    <x v="2"/>
    <x v="12"/>
    <n v="29"/>
    <n v="75000"/>
    <n v="28000"/>
    <x v="2"/>
    <x v="2"/>
    <s v="Lama"/>
    <n v="2175000"/>
    <n v="0"/>
    <n v="2175000"/>
    <n v="2168500"/>
    <n v="1356500"/>
  </r>
  <r>
    <s v="INV-B-LM-1203"/>
    <x v="115"/>
    <x v="0"/>
    <x v="0"/>
    <x v="3"/>
    <x v="1"/>
    <x v="3"/>
    <n v="28"/>
    <n v="370000"/>
    <n v="195000"/>
    <x v="3"/>
    <x v="3"/>
    <s v="Lama"/>
    <n v="10360000"/>
    <n v="0"/>
    <n v="10360000"/>
    <n v="10357500"/>
    <n v="4897500"/>
  </r>
  <r>
    <s v="INV-D-LM-1020"/>
    <x v="116"/>
    <x v="2"/>
    <x v="4"/>
    <x v="5"/>
    <x v="0"/>
    <x v="0"/>
    <n v="29"/>
    <n v="2290000"/>
    <n v="1290000"/>
    <x v="5"/>
    <x v="2"/>
    <s v="Lama"/>
    <n v="66410000"/>
    <n v="0.15"/>
    <n v="56448500"/>
    <n v="56442000"/>
    <n v="19032000"/>
  </r>
  <r>
    <s v="INV-T-LM-1081"/>
    <x v="116"/>
    <x v="2"/>
    <x v="2"/>
    <x v="7"/>
    <x v="3"/>
    <x v="4"/>
    <n v="18"/>
    <n v="295000"/>
    <n v="138000"/>
    <x v="7"/>
    <x v="4"/>
    <s v="Lama"/>
    <n v="5310000"/>
    <n v="0"/>
    <n v="5310000"/>
    <n v="5310000"/>
    <n v="2826000"/>
  </r>
  <r>
    <s v="INV-D-LM-1115"/>
    <x v="116"/>
    <x v="0"/>
    <x v="6"/>
    <x v="4"/>
    <x v="2"/>
    <x v="10"/>
    <n v="25"/>
    <n v="48000"/>
    <n v="19000"/>
    <x v="4"/>
    <x v="2"/>
    <s v="Lama"/>
    <n v="1200000"/>
    <n v="0"/>
    <n v="1200000"/>
    <n v="1193500"/>
    <n v="718500"/>
  </r>
  <r>
    <s v="INV-Q-LM-1170"/>
    <x v="117"/>
    <x v="2"/>
    <x v="4"/>
    <x v="2"/>
    <x v="0"/>
    <x v="8"/>
    <n v="24"/>
    <n v="1010000"/>
    <n v="535000"/>
    <x v="2"/>
    <x v="1"/>
    <s v="Lama"/>
    <n v="24240000"/>
    <n v="0"/>
    <n v="24240000"/>
    <n v="24239000"/>
    <n v="11399000"/>
  </r>
  <r>
    <s v="INV-T-LM-1100"/>
    <x v="118"/>
    <x v="3"/>
    <x v="7"/>
    <x v="2"/>
    <x v="2"/>
    <x v="16"/>
    <n v="11"/>
    <n v="36000"/>
    <n v="13000"/>
    <x v="2"/>
    <x v="4"/>
    <s v="Lama"/>
    <n v="396000"/>
    <n v="0"/>
    <n v="396000"/>
    <n v="396000"/>
    <n v="253000"/>
  </r>
  <r>
    <s v="INV-Q-BR-1124"/>
    <x v="119"/>
    <x v="0"/>
    <x v="6"/>
    <x v="6"/>
    <x v="1"/>
    <x v="3"/>
    <n v="3"/>
    <n v="370000"/>
    <n v="195000"/>
    <x v="6"/>
    <x v="1"/>
    <s v="Baru"/>
    <n v="1110000"/>
    <n v="0"/>
    <n v="1110000"/>
    <n v="1109000"/>
    <n v="524000"/>
  </r>
  <r>
    <s v="INV-B-BR-1036"/>
    <x v="120"/>
    <x v="0"/>
    <x v="0"/>
    <x v="4"/>
    <x v="1"/>
    <x v="9"/>
    <n v="9"/>
    <n v="280000"/>
    <n v="130000"/>
    <x v="4"/>
    <x v="3"/>
    <s v="Baru"/>
    <n v="2520000"/>
    <n v="0"/>
    <n v="2520000"/>
    <n v="2517500"/>
    <n v="1347500"/>
  </r>
  <r>
    <s v="INV-D-LM-1083"/>
    <x v="121"/>
    <x v="2"/>
    <x v="4"/>
    <x v="2"/>
    <x v="1"/>
    <x v="15"/>
    <n v="36"/>
    <n v="320000"/>
    <n v="160000"/>
    <x v="2"/>
    <x v="2"/>
    <s v="Lama"/>
    <n v="11520000"/>
    <n v="0"/>
    <n v="11520000"/>
    <n v="11513500"/>
    <n v="5753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132739-7F1D-E941-A8B4-F265BA8DE689}" name="PivotTable2" cacheId="24" applyNumberFormats="0" applyBorderFormats="0" applyFontFormats="0" applyPatternFormats="0" applyAlignmentFormats="0" applyWidthHeightFormats="1" dataCaption="Values" updatedVersion="8" minRefreshableVersion="5" useAutoFormatting="1" itemPrintTitles="1" createdVersion="8" indent="0" outline="1" outlineData="1" multipleFieldFilters="0">
  <location ref="A3:K26" firstHeaderRow="1" firstDataRow="2" firstDataCol="1" rowPageCount="1" colPageCount="1"/>
  <pivotFields count="20">
    <pivotField showAll="0"/>
    <pivotField numFmtId="14" showAl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t="default"/>
      </items>
    </pivotField>
    <pivotField axis="axisPage" showAll="0">
      <items count="5">
        <item x="1"/>
        <item x="0"/>
        <item x="3"/>
        <item x="2"/>
        <item t="default"/>
      </items>
    </pivotField>
    <pivotField axis="axisCol" showAll="0">
      <items count="10">
        <item x="0"/>
        <item x="8"/>
        <item x="6"/>
        <item x="1"/>
        <item x="7"/>
        <item x="3"/>
        <item x="2"/>
        <item x="4"/>
        <item x="5"/>
        <item t="default"/>
      </items>
    </pivotField>
    <pivotField showAll="0"/>
    <pivotField axis="axisRow" showAll="0">
      <items count="5">
        <item x="2"/>
        <item x="1"/>
        <item x="0"/>
        <item x="3"/>
        <item t="default"/>
      </items>
    </pivotField>
    <pivotField axis="axisRow" showAll="0">
      <items count="18">
        <item x="4"/>
        <item x="5"/>
        <item x="10"/>
        <item x="11"/>
        <item x="8"/>
        <item x="0"/>
        <item x="1"/>
        <item x="2"/>
        <item x="7"/>
        <item x="6"/>
        <item x="12"/>
        <item x="9"/>
        <item x="13"/>
        <item x="16"/>
        <item x="14"/>
        <item x="15"/>
        <item x="3"/>
        <item t="default"/>
      </items>
    </pivotField>
    <pivotField showAll="0"/>
    <pivotField numFmtId="164" showAll="0"/>
    <pivotField numFmtId="164" showAll="0"/>
    <pivotField showAll="0"/>
    <pivotField showAll="0">
      <items count="6">
        <item x="2"/>
        <item x="0"/>
        <item x="1"/>
        <item x="3"/>
        <item x="4"/>
        <item t="default"/>
      </items>
    </pivotField>
    <pivotField showAll="0"/>
    <pivotField numFmtId="164" showAll="0"/>
    <pivotField showAll="0"/>
    <pivotField numFmtId="164" showAll="0"/>
    <pivotField numFmtId="164" showAll="0"/>
    <pivotField dataField="1" numFmtId="164" showAll="0"/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5"/>
    <field x="6"/>
  </rowFields>
  <rowItems count="22">
    <i>
      <x/>
    </i>
    <i r="1">
      <x v="2"/>
    </i>
    <i r="1">
      <x v="7"/>
    </i>
    <i r="1">
      <x v="10"/>
    </i>
    <i r="1">
      <x v="12"/>
    </i>
    <i r="1">
      <x v="13"/>
    </i>
    <i>
      <x v="1"/>
    </i>
    <i r="1">
      <x v="6"/>
    </i>
    <i r="1">
      <x v="9"/>
    </i>
    <i r="1">
      <x v="11"/>
    </i>
    <i r="1">
      <x v="15"/>
    </i>
    <i r="1">
      <x v="16"/>
    </i>
    <i>
      <x v="2"/>
    </i>
    <i r="1">
      <x v="3"/>
    </i>
    <i r="1">
      <x v="4"/>
    </i>
    <i r="1">
      <x v="5"/>
    </i>
    <i r="1">
      <x v="8"/>
    </i>
    <i>
      <x v="3"/>
    </i>
    <i r="1">
      <x/>
    </i>
    <i r="1">
      <x v="1"/>
    </i>
    <i r="1">
      <x v="14"/>
    </i>
    <i t="grand">
      <x/>
    </i>
  </rowItems>
  <colFields count="1">
    <field x="3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1">
    <pageField fld="2" hier="-1"/>
  </pageFields>
  <dataFields count="1">
    <dataField name="Sum of Profit" fld="17" baseField="0" baseItem="0" numFmtId="164"/>
  </dataFields>
  <formats count="28"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field="3" type="button" dataOnly="0" labelOnly="1" outline="0" axis="axisCol" fieldPosition="0"/>
    </format>
    <format dxfId="23">
      <pivotArea type="topRight" dataOnly="0" labelOnly="1" outline="0" fieldPosition="0"/>
    </format>
    <format dxfId="22">
      <pivotArea field="5" type="button" dataOnly="0" labelOnly="1" outline="0" axis="axisRow" fieldPosition="0"/>
    </format>
    <format dxfId="21">
      <pivotArea dataOnly="0" labelOnly="1" fieldPosition="0">
        <references count="1">
          <reference field="5" count="0"/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2">
          <reference field="5" count="1" selected="0">
            <x v="0"/>
          </reference>
          <reference field="6" count="5">
            <x v="2"/>
            <x v="7"/>
            <x v="10"/>
            <x v="12"/>
            <x v="13"/>
          </reference>
        </references>
      </pivotArea>
    </format>
    <format dxfId="18">
      <pivotArea dataOnly="0" labelOnly="1" fieldPosition="0">
        <references count="2">
          <reference field="5" count="1" selected="0">
            <x v="1"/>
          </reference>
          <reference field="6" count="5">
            <x v="6"/>
            <x v="9"/>
            <x v="11"/>
            <x v="15"/>
            <x v="16"/>
          </reference>
        </references>
      </pivotArea>
    </format>
    <format dxfId="17">
      <pivotArea dataOnly="0" labelOnly="1" fieldPosition="0">
        <references count="2">
          <reference field="5" count="1" selected="0">
            <x v="2"/>
          </reference>
          <reference field="6" count="4">
            <x v="3"/>
            <x v="4"/>
            <x v="5"/>
            <x v="8"/>
          </reference>
        </references>
      </pivotArea>
    </format>
    <format dxfId="16">
      <pivotArea dataOnly="0" labelOnly="1" fieldPosition="0">
        <references count="2">
          <reference field="5" count="1" selected="0">
            <x v="3"/>
          </reference>
          <reference field="6" count="3">
            <x v="0"/>
            <x v="1"/>
            <x v="14"/>
          </reference>
        </references>
      </pivotArea>
    </format>
    <format dxfId="15">
      <pivotArea dataOnly="0" labelOnly="1" fieldPosition="0">
        <references count="1">
          <reference field="3" count="3">
            <x v="1"/>
            <x v="3"/>
            <x v="8"/>
          </reference>
        </references>
      </pivotArea>
    </format>
    <format dxfId="14">
      <pivotArea dataOnly="0" labelOnly="1" grandCol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3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5" type="button" dataOnly="0" labelOnly="1" outline="0" axis="axisRow" fieldPosition="0"/>
    </format>
    <format dxfId="7">
      <pivotArea dataOnly="0" labelOnly="1" fieldPosition="0">
        <references count="1">
          <reference field="5" count="0"/>
        </references>
      </pivotArea>
    </format>
    <format dxfId="6">
      <pivotArea dataOnly="0" labelOnly="1" grandRow="1" outline="0" fieldPosition="0"/>
    </format>
    <format dxfId="5">
      <pivotArea dataOnly="0" labelOnly="1" fieldPosition="0">
        <references count="2">
          <reference field="5" count="1" selected="0">
            <x v="0"/>
          </reference>
          <reference field="6" count="5">
            <x v="2"/>
            <x v="7"/>
            <x v="10"/>
            <x v="12"/>
            <x v="13"/>
          </reference>
        </references>
      </pivotArea>
    </format>
    <format dxfId="4">
      <pivotArea dataOnly="0" labelOnly="1" fieldPosition="0">
        <references count="2">
          <reference field="5" count="1" selected="0">
            <x v="1"/>
          </reference>
          <reference field="6" count="5">
            <x v="6"/>
            <x v="9"/>
            <x v="11"/>
            <x v="15"/>
            <x v="16"/>
          </reference>
        </references>
      </pivotArea>
    </format>
    <format dxfId="3">
      <pivotArea dataOnly="0" labelOnly="1" fieldPosition="0">
        <references count="2">
          <reference field="5" count="1" selected="0">
            <x v="2"/>
          </reference>
          <reference field="6" count="4">
            <x v="3"/>
            <x v="4"/>
            <x v="5"/>
            <x v="8"/>
          </reference>
        </references>
      </pivotArea>
    </format>
    <format dxfId="2">
      <pivotArea dataOnly="0" labelOnly="1" fieldPosition="0">
        <references count="2">
          <reference field="5" count="1" selected="0">
            <x v="3"/>
          </reference>
          <reference field="6" count="3">
            <x v="0"/>
            <x v="1"/>
            <x v="14"/>
          </reference>
        </references>
      </pivotArea>
    </format>
    <format dxfId="1">
      <pivotArea dataOnly="0" labelOnly="1" fieldPosition="0">
        <references count="1">
          <reference field="3" count="3">
            <x v="1"/>
            <x v="3"/>
            <x v="8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filters count="1">
    <filter fld="1" type="dateBetween" evalOrder="-1" id="22" name="Tanggal Pesanan">
      <autoFilter ref="A1">
        <filterColumn colId="0">
          <customFilters and="1">
            <customFilter operator="greaterThanOrEqual" val="45292"/>
            <customFilter operator="lessThanOrEqual" val="4553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DE6E0C-78AE-E44D-B7FC-6E030D9DBE75}" name="PivotTable3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17" firstHeaderRow="0" firstDataRow="1" firstDataCol="1"/>
  <pivotFields count="20">
    <pivotField showAll="0"/>
    <pivotField numFmtId="14" showAl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t="default"/>
      </items>
    </pivotField>
    <pivotField axis="axisRow" showAll="0">
      <items count="5">
        <item x="1"/>
        <item x="0"/>
        <item x="3"/>
        <item x="2"/>
        <item t="default"/>
      </items>
    </pivotField>
    <pivotField axis="axisRow" showAll="0">
      <items count="10">
        <item x="0"/>
        <item x="8"/>
        <item x="6"/>
        <item x="1"/>
        <item x="7"/>
        <item x="3"/>
        <item x="2"/>
        <item x="4"/>
        <item x="5"/>
        <item t="default"/>
      </items>
    </pivotField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dataField="1" numFmtId="164" showAll="0"/>
    <pivotField showAll="0"/>
    <pivotField numFmtId="164" showAll="0"/>
    <pivotField dataField="1" numFmtId="164" showAll="0"/>
    <pivotField dataField="1" numFmtId="164" showAll="0"/>
    <pivotField showAll="0" defaultSubtotal="0"/>
    <pivotField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2">
    <field x="2"/>
    <field x="3"/>
  </rowFields>
  <rowItems count="14">
    <i>
      <x/>
    </i>
    <i r="1">
      <x v="1"/>
    </i>
    <i r="1">
      <x v="3"/>
    </i>
    <i r="1">
      <x v="8"/>
    </i>
    <i>
      <x v="1"/>
    </i>
    <i r="1">
      <x/>
    </i>
    <i r="1">
      <x v="2"/>
    </i>
    <i>
      <x v="2"/>
    </i>
    <i r="1">
      <x v="4"/>
    </i>
    <i r="1">
      <x v="5"/>
    </i>
    <i>
      <x v="3"/>
    </i>
    <i r="1">
      <x v="6"/>
    </i>
    <i r="1"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Penjualan" fld="13" baseField="0" baseItem="0" numFmtId="164"/>
    <dataField name="Sum of Total Bersih" fld="16" baseField="0" baseItem="0" numFmtId="164"/>
    <dataField name="Sum of Profit" fld="17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9C8D91-3460-8943-B0C3-AAC7598ACB8A}" name="PivotTable4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3">
  <location ref="A3:B12" firstHeaderRow="1" firstDataRow="1" firstDataCol="1" rowPageCount="1" colPageCount="1"/>
  <pivotFields count="20">
    <pivotField showAll="0"/>
    <pivotField numFmtId="14" showAl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t="default"/>
      </items>
    </pivotField>
    <pivotField showAll="0"/>
    <pivotField showAll="0"/>
    <pivotField showAll="0">
      <items count="9">
        <item x="2"/>
        <item x="6"/>
        <item x="3"/>
        <item x="7"/>
        <item x="4"/>
        <item x="1"/>
        <item x="5"/>
        <item x="0"/>
        <item t="default"/>
      </items>
    </pivotField>
    <pivotField showAll="0"/>
    <pivotField showAll="0"/>
    <pivotField showAll="0"/>
    <pivotField numFmtId="164" showAll="0"/>
    <pivotField numFmtId="164" showAll="0"/>
    <pivotField axis="axisRow" showAll="0">
      <items count="9">
        <item x="2"/>
        <item x="6"/>
        <item x="3"/>
        <item x="7"/>
        <item x="4"/>
        <item x="1"/>
        <item x="5"/>
        <item x="0"/>
        <item t="default"/>
      </items>
    </pivotField>
    <pivotField showAll="0"/>
    <pivotField showAll="0"/>
    <pivotField numFmtId="164" showAll="0"/>
    <pivotField showAll="0"/>
    <pivotField numFmtId="164" showAll="0"/>
    <pivotField numFmtId="164" showAll="0"/>
    <pivotField dataField="1" numFmtId="164" showAll="0"/>
    <pivotField showAll="0" defaultSubtotal="0"/>
    <pivotField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1">
    <field x="1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19" hier="-1"/>
  </pageFields>
  <dataFields count="1">
    <dataField name="Sum of Profit" fld="17" baseField="0" baseItem="0" numFmtId="164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xmlns:mc="http://schemas.openxmlformats.org/markup-compatibility/2006" xmlns:xr10="http://schemas.microsoft.com/office/spreadsheetml/2016/revision10" mc:Ignorable="xr10" name="NativeTimeline_Tanggal_Pesanan" xr10:uid="{30FCFBF0-85E0-7346-963F-5921A6C0260B}" sourceName="Tanggal Pesanan">
  <pivotTables>
    <pivotTable tabId="4" name="PivotTable2"/>
  </pivotTables>
  <state minimalRefreshVersion="6" lastRefreshVersion="6" pivotCacheId="1826615341" filterType="dateBetween">
    <selection startDate="2024-01-01T00:00:00" endDate="2024-08-31T00:00:00"/>
    <bounds startDate="2024-01-01T00:00:00" endDate="2025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xmlns:xr10="http://schemas.microsoft.com/office/spreadsheetml/2016/revision10" mc:Ignorable="x xr10">
  <timeline name="Tanggal Pesanan" xr10:uid="{B4FD6DE8-75BD-FA46-A959-E380CA76ACDF}" cache="NativeTimeline_Tanggal_Pesanan" caption="Tanggal Pesanan" level="2" selectionLevel="2" scrollPosition="2024-01-01T00:00:00"/>
</timelines>
</file>

<file path=xl/worksheets/_rels/sheet4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10F75-14DD-044F-8755-411089556AB7}">
  <dimension ref="A1:R225"/>
  <sheetViews>
    <sheetView tabSelected="1" zoomScale="125" workbookViewId="0">
      <pane ySplit="1" topLeftCell="A2" activePane="bottomLeft" state="frozen"/>
      <selection pane="bottomLeft" activeCell="A2" sqref="A2"/>
    </sheetView>
  </sheetViews>
  <sheetFormatPr baseColWidth="10" defaultRowHeight="16" x14ac:dyDescent="0.2"/>
  <cols>
    <col min="1" max="1" width="13.83203125" bestFit="1" customWidth="1"/>
    <col min="2" max="2" width="15" bestFit="1" customWidth="1"/>
    <col min="3" max="3" width="9.83203125" bestFit="1" customWidth="1"/>
    <col min="4" max="4" width="10.6640625" bestFit="1" customWidth="1"/>
    <col min="5" max="5" width="20.1640625" bestFit="1" customWidth="1"/>
    <col min="6" max="6" width="14.33203125" bestFit="1" customWidth="1"/>
    <col min="7" max="7" width="23.33203125" bestFit="1" customWidth="1"/>
    <col min="8" max="8" width="10.5" bestFit="1" customWidth="1"/>
    <col min="9" max="9" width="12.1640625" bestFit="1" customWidth="1"/>
    <col min="10" max="10" width="11.83203125" bestFit="1" customWidth="1"/>
    <col min="11" max="11" width="16.33203125" bestFit="1" customWidth="1"/>
    <col min="12" max="12" width="18.1640625" bestFit="1" customWidth="1"/>
    <col min="13" max="13" width="13.5" bestFit="1" customWidth="1"/>
    <col min="14" max="14" width="13.83203125" bestFit="1" customWidth="1"/>
    <col min="15" max="15" width="10.1640625" bestFit="1" customWidth="1"/>
    <col min="16" max="16" width="19" bestFit="1" customWidth="1"/>
    <col min="17" max="18" width="15.83203125" bestFit="1" customWidth="1"/>
  </cols>
  <sheetData>
    <row r="1" spans="1:18" x14ac:dyDescent="0.2">
      <c r="A1" s="4" t="s">
        <v>0</v>
      </c>
      <c r="B1" s="4" t="s">
        <v>1</v>
      </c>
      <c r="C1" s="4" t="s">
        <v>2</v>
      </c>
      <c r="D1" s="4" t="s">
        <v>3</v>
      </c>
      <c r="E1" s="6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278</v>
      </c>
      <c r="K1" s="4" t="s">
        <v>521</v>
      </c>
      <c r="L1" s="4" t="s">
        <v>10</v>
      </c>
      <c r="M1" s="4" t="s">
        <v>11</v>
      </c>
      <c r="N1" s="4" t="s">
        <v>279</v>
      </c>
      <c r="O1" s="4" t="s">
        <v>9</v>
      </c>
      <c r="P1" s="4" t="s">
        <v>506</v>
      </c>
      <c r="Q1" s="4" t="s">
        <v>507</v>
      </c>
      <c r="R1" s="4" t="s">
        <v>280</v>
      </c>
    </row>
    <row r="2" spans="1:18" x14ac:dyDescent="0.2">
      <c r="A2" t="s">
        <v>58</v>
      </c>
      <c r="B2" s="1">
        <v>45295</v>
      </c>
      <c r="C2" s="2" t="s">
        <v>12</v>
      </c>
      <c r="D2" s="2" t="s">
        <v>13</v>
      </c>
      <c r="E2" s="7" t="s">
        <v>285</v>
      </c>
      <c r="F2" s="2" t="s">
        <v>14</v>
      </c>
      <c r="G2" s="2" t="s">
        <v>15</v>
      </c>
      <c r="H2" s="2">
        <v>17</v>
      </c>
      <c r="I2" s="3">
        <v>2290000</v>
      </c>
      <c r="J2" s="3">
        <v>1290000</v>
      </c>
      <c r="K2" s="3" t="str">
        <f>PROPER(E2)</f>
        <v>Hesti Wulandari</v>
      </c>
      <c r="L2" s="2" t="str">
        <f>VLOOKUP(MID(A2,5,1),Referensi!$A$1:$C$6,2,FALSE)</f>
        <v>Kartu Kredit</v>
      </c>
      <c r="M2" s="2" t="str">
        <f>IF(MID(A2,7,2)="BR","Baru","Lama")</f>
        <v>Baru</v>
      </c>
      <c r="N2" s="8">
        <f>I2*H2</f>
        <v>38930000</v>
      </c>
      <c r="O2" s="5">
        <f>IF(AND(M2="BARU",N2&gt;50000000),20%,IF(AND(M2="LAMA",N2&gt;50000000),15%,IF(AND(M2="BARU",N2&gt;20000000),10%,0%)))</f>
        <v>0.1</v>
      </c>
      <c r="P2" s="8">
        <f>N2-O2*N2</f>
        <v>35037000</v>
      </c>
      <c r="Q2" s="8">
        <f>P2-VLOOKUP(MID(A2,5,1),Referensi!$A$1:$C$6,3,FALSE)</f>
        <v>35027000</v>
      </c>
      <c r="R2" s="8">
        <f>Q2-(H2*J2)</f>
        <v>13097000</v>
      </c>
    </row>
    <row r="3" spans="1:18" x14ac:dyDescent="0.2">
      <c r="A3" t="s">
        <v>59</v>
      </c>
      <c r="B3" s="1">
        <v>45295</v>
      </c>
      <c r="C3" s="2" t="s">
        <v>12</v>
      </c>
      <c r="D3" s="2" t="s">
        <v>13</v>
      </c>
      <c r="E3" s="7" t="s">
        <v>286</v>
      </c>
      <c r="F3" s="2" t="s">
        <v>16</v>
      </c>
      <c r="G3" s="2" t="s">
        <v>17</v>
      </c>
      <c r="H3" s="2">
        <v>12</v>
      </c>
      <c r="I3" s="3">
        <v>150000</v>
      </c>
      <c r="J3" s="3">
        <v>75000</v>
      </c>
      <c r="K3" s="3" t="str">
        <f t="shared" ref="K3:K66" si="0">PROPER(E3)</f>
        <v>Fitri Handayani</v>
      </c>
      <c r="L3" s="2" t="str">
        <f>VLOOKUP(MID(A3,5,1),Referensi!$A$1:$C$6,2,FALSE)</f>
        <v>QRIS</v>
      </c>
      <c r="M3" s="2" t="str">
        <f t="shared" ref="M3:M66" si="1">IF(MID(A3,7,2)="BR","Baru","Lama")</f>
        <v>Baru</v>
      </c>
      <c r="N3" s="8">
        <f t="shared" ref="N3:N66" si="2">I3*H3</f>
        <v>1800000</v>
      </c>
      <c r="O3" s="5">
        <f t="shared" ref="O3:O66" si="3">IF(AND(M3="BARU",N3&gt;50000000),20%,IF(AND(M3="LAMA",N3&gt;50000000),15%,IF(AND(M3="BARU",N3&gt;20000000),10%,0%)))</f>
        <v>0</v>
      </c>
      <c r="P3" s="8">
        <f t="shared" ref="P3:P66" si="4">N3-O3*N3</f>
        <v>1800000</v>
      </c>
      <c r="Q3" s="8">
        <f>P3-VLOOKUP(MID(A3,5,1),Referensi!$A$1:$C$6,3,FALSE)</f>
        <v>1799000</v>
      </c>
      <c r="R3" s="8">
        <f t="shared" ref="R3:R66" si="5">Q3-(H3*J3)</f>
        <v>899000</v>
      </c>
    </row>
    <row r="4" spans="1:18" x14ac:dyDescent="0.2">
      <c r="A4" t="s">
        <v>60</v>
      </c>
      <c r="B4" s="1">
        <v>45298</v>
      </c>
      <c r="C4" s="2" t="s">
        <v>18</v>
      </c>
      <c r="D4" s="2" t="s">
        <v>19</v>
      </c>
      <c r="E4" s="7" t="s">
        <v>287</v>
      </c>
      <c r="F4" s="2" t="s">
        <v>20</v>
      </c>
      <c r="G4" s="2" t="s">
        <v>21</v>
      </c>
      <c r="H4" s="2">
        <v>37</v>
      </c>
      <c r="I4" s="3">
        <v>145000</v>
      </c>
      <c r="J4" s="3">
        <v>62000</v>
      </c>
      <c r="K4" s="3" t="str">
        <f t="shared" si="0"/>
        <v>Andi Saputra</v>
      </c>
      <c r="L4" s="2" t="str">
        <f>VLOOKUP(MID(A4,5,1),Referensi!$A$1:$C$6,2,FALSE)</f>
        <v>Kartu Debit</v>
      </c>
      <c r="M4" s="2" t="str">
        <f t="shared" si="1"/>
        <v>Lama</v>
      </c>
      <c r="N4" s="8">
        <f t="shared" si="2"/>
        <v>5365000</v>
      </c>
      <c r="O4" s="5">
        <f t="shared" si="3"/>
        <v>0</v>
      </c>
      <c r="P4" s="8">
        <f t="shared" si="4"/>
        <v>5365000</v>
      </c>
      <c r="Q4" s="8">
        <f>P4-VLOOKUP(MID(A4,5,1),Referensi!$A$1:$C$6,3,FALSE)</f>
        <v>5358500</v>
      </c>
      <c r="R4" s="8">
        <f t="shared" si="5"/>
        <v>3064500</v>
      </c>
    </row>
    <row r="5" spans="1:18" x14ac:dyDescent="0.2">
      <c r="A5" t="s">
        <v>61</v>
      </c>
      <c r="B5" s="1">
        <v>45299</v>
      </c>
      <c r="C5" s="2" t="s">
        <v>22</v>
      </c>
      <c r="D5" s="2" t="s">
        <v>23</v>
      </c>
      <c r="E5" s="7" t="s">
        <v>288</v>
      </c>
      <c r="F5" s="2" t="s">
        <v>16</v>
      </c>
      <c r="G5" s="2" t="s">
        <v>24</v>
      </c>
      <c r="H5" s="2">
        <v>16</v>
      </c>
      <c r="I5" s="3">
        <v>370000</v>
      </c>
      <c r="J5" s="3">
        <v>195000</v>
      </c>
      <c r="K5" s="3" t="str">
        <f t="shared" si="0"/>
        <v>Andi Saputra</v>
      </c>
      <c r="L5" s="2" t="str">
        <f>VLOOKUP(MID(A5,5,1),Referensi!$A$1:$C$6,2,FALSE)</f>
        <v>Transfer Bank</v>
      </c>
      <c r="M5" s="2" t="str">
        <f t="shared" si="1"/>
        <v>Lama</v>
      </c>
      <c r="N5" s="8">
        <f t="shared" si="2"/>
        <v>5920000</v>
      </c>
      <c r="O5" s="5">
        <f t="shared" si="3"/>
        <v>0</v>
      </c>
      <c r="P5" s="8">
        <f t="shared" si="4"/>
        <v>5920000</v>
      </c>
      <c r="Q5" s="8">
        <f>P5-VLOOKUP(MID(A5,5,1),Referensi!$A$1:$C$6,3,FALSE)</f>
        <v>5917500</v>
      </c>
      <c r="R5" s="8">
        <f t="shared" si="5"/>
        <v>2797500</v>
      </c>
    </row>
    <row r="6" spans="1:18" x14ac:dyDescent="0.2">
      <c r="A6" t="s">
        <v>62</v>
      </c>
      <c r="B6" s="1">
        <v>45299</v>
      </c>
      <c r="C6" s="2" t="s">
        <v>25</v>
      </c>
      <c r="D6" s="2" t="s">
        <v>26</v>
      </c>
      <c r="E6" s="7" t="s">
        <v>289</v>
      </c>
      <c r="F6" s="2" t="s">
        <v>27</v>
      </c>
      <c r="G6" s="2" t="s">
        <v>28</v>
      </c>
      <c r="H6" s="2">
        <v>14</v>
      </c>
      <c r="I6" s="3">
        <v>295000</v>
      </c>
      <c r="J6" s="3">
        <v>138000</v>
      </c>
      <c r="K6" s="3" t="str">
        <f t="shared" si="0"/>
        <v>Citra Dewi</v>
      </c>
      <c r="L6" s="2" t="str">
        <f>VLOOKUP(MID(A6,5,1),Referensi!$A$1:$C$6,2,FALSE)</f>
        <v>Kartu Kredit</v>
      </c>
      <c r="M6" s="2" t="str">
        <f t="shared" si="1"/>
        <v>Lama</v>
      </c>
      <c r="N6" s="8">
        <f t="shared" si="2"/>
        <v>4130000</v>
      </c>
      <c r="O6" s="5">
        <f t="shared" si="3"/>
        <v>0</v>
      </c>
      <c r="P6" s="8">
        <f t="shared" si="4"/>
        <v>4130000</v>
      </c>
      <c r="Q6" s="8">
        <f>P6-VLOOKUP(MID(A6,5,1),Referensi!$A$1:$C$6,3,FALSE)</f>
        <v>4120000</v>
      </c>
      <c r="R6" s="8">
        <f t="shared" si="5"/>
        <v>2188000</v>
      </c>
    </row>
    <row r="7" spans="1:18" x14ac:dyDescent="0.2">
      <c r="A7" t="s">
        <v>63</v>
      </c>
      <c r="B7" s="1">
        <v>45299</v>
      </c>
      <c r="C7" s="2" t="s">
        <v>22</v>
      </c>
      <c r="D7" s="2" t="s">
        <v>29</v>
      </c>
      <c r="E7" s="7" t="s">
        <v>290</v>
      </c>
      <c r="F7" s="2" t="s">
        <v>16</v>
      </c>
      <c r="G7" s="2" t="s">
        <v>24</v>
      </c>
      <c r="H7" s="2">
        <v>5</v>
      </c>
      <c r="I7" s="3">
        <v>370000</v>
      </c>
      <c r="J7" s="3">
        <v>195000</v>
      </c>
      <c r="K7" s="3" t="str">
        <f t="shared" si="0"/>
        <v>Andi Saputra</v>
      </c>
      <c r="L7" s="2" t="str">
        <f>VLOOKUP(MID(A7,5,1),Referensi!$A$1:$C$6,2,FALSE)</f>
        <v>Kartu Kredit</v>
      </c>
      <c r="M7" s="2" t="str">
        <f t="shared" si="1"/>
        <v>Lama</v>
      </c>
      <c r="N7" s="8">
        <f t="shared" si="2"/>
        <v>1850000</v>
      </c>
      <c r="O7" s="5">
        <f t="shared" si="3"/>
        <v>0</v>
      </c>
      <c r="P7" s="8">
        <f t="shared" si="4"/>
        <v>1850000</v>
      </c>
      <c r="Q7" s="8">
        <f>P7-VLOOKUP(MID(A7,5,1),Referensi!$A$1:$C$6,3,FALSE)</f>
        <v>1840000</v>
      </c>
      <c r="R7" s="8">
        <f t="shared" si="5"/>
        <v>865000</v>
      </c>
    </row>
    <row r="8" spans="1:18" x14ac:dyDescent="0.2">
      <c r="A8" t="s">
        <v>64</v>
      </c>
      <c r="B8" s="1">
        <v>45300</v>
      </c>
      <c r="C8" s="2" t="s">
        <v>12</v>
      </c>
      <c r="D8" s="2" t="s">
        <v>13</v>
      </c>
      <c r="E8" s="7" t="s">
        <v>291</v>
      </c>
      <c r="F8" s="2" t="s">
        <v>27</v>
      </c>
      <c r="G8" s="2" t="s">
        <v>30</v>
      </c>
      <c r="H8" s="2">
        <v>16</v>
      </c>
      <c r="I8" s="3">
        <v>110000</v>
      </c>
      <c r="J8" s="3">
        <v>46000</v>
      </c>
      <c r="K8" s="3" t="str">
        <f t="shared" si="0"/>
        <v>Hesti Wulandari</v>
      </c>
      <c r="L8" s="2" t="str">
        <f>VLOOKUP(MID(A8,5,1),Referensi!$A$1:$C$6,2,FALSE)</f>
        <v>Kartu Kredit</v>
      </c>
      <c r="M8" s="2" t="str">
        <f t="shared" si="1"/>
        <v>Baru</v>
      </c>
      <c r="N8" s="8">
        <f t="shared" si="2"/>
        <v>1760000</v>
      </c>
      <c r="O8" s="5">
        <f t="shared" si="3"/>
        <v>0</v>
      </c>
      <c r="P8" s="8">
        <f t="shared" si="4"/>
        <v>1760000</v>
      </c>
      <c r="Q8" s="8">
        <f>P8-VLOOKUP(MID(A8,5,1),Referensi!$A$1:$C$6,3,FALSE)</f>
        <v>1750000</v>
      </c>
      <c r="R8" s="8">
        <f t="shared" si="5"/>
        <v>1014000</v>
      </c>
    </row>
    <row r="9" spans="1:18" x14ac:dyDescent="0.2">
      <c r="A9" t="s">
        <v>65</v>
      </c>
      <c r="B9" s="1">
        <v>45301</v>
      </c>
      <c r="C9" s="2" t="s">
        <v>18</v>
      </c>
      <c r="D9" s="2" t="s">
        <v>31</v>
      </c>
      <c r="E9" s="7" t="s">
        <v>292</v>
      </c>
      <c r="F9" s="2" t="s">
        <v>16</v>
      </c>
      <c r="G9" s="2" t="s">
        <v>32</v>
      </c>
      <c r="H9" s="2">
        <v>6</v>
      </c>
      <c r="I9" s="3">
        <v>420000</v>
      </c>
      <c r="J9" s="3">
        <v>225000</v>
      </c>
      <c r="K9" s="3" t="str">
        <f t="shared" si="0"/>
        <v>Eko Prasetyo</v>
      </c>
      <c r="L9" s="2" t="str">
        <f>VLOOKUP(MID(A9,5,1),Referensi!$A$1:$C$6,2,FALSE)</f>
        <v>QRIS</v>
      </c>
      <c r="M9" s="2" t="str">
        <f t="shared" si="1"/>
        <v>Lama</v>
      </c>
      <c r="N9" s="8">
        <f t="shared" si="2"/>
        <v>2520000</v>
      </c>
      <c r="O9" s="5">
        <f t="shared" si="3"/>
        <v>0</v>
      </c>
      <c r="P9" s="8">
        <f t="shared" si="4"/>
        <v>2520000</v>
      </c>
      <c r="Q9" s="8">
        <f>P9-VLOOKUP(MID(A9,5,1),Referensi!$A$1:$C$6,3,FALSE)</f>
        <v>2519000</v>
      </c>
      <c r="R9" s="8">
        <f t="shared" si="5"/>
        <v>1169000</v>
      </c>
    </row>
    <row r="10" spans="1:18" x14ac:dyDescent="0.2">
      <c r="A10" t="s">
        <v>66</v>
      </c>
      <c r="B10" s="1">
        <v>45303</v>
      </c>
      <c r="C10" s="2" t="s">
        <v>12</v>
      </c>
      <c r="D10" s="2" t="s">
        <v>33</v>
      </c>
      <c r="E10" s="7" t="s">
        <v>293</v>
      </c>
      <c r="F10" s="2" t="s">
        <v>14</v>
      </c>
      <c r="G10" s="2" t="s">
        <v>34</v>
      </c>
      <c r="H10" s="2">
        <v>10</v>
      </c>
      <c r="I10" s="3">
        <v>820000</v>
      </c>
      <c r="J10" s="3">
        <v>415000</v>
      </c>
      <c r="K10" s="3" t="str">
        <f t="shared" si="0"/>
        <v>Gilang Ramadhan</v>
      </c>
      <c r="L10" s="2" t="str">
        <f>VLOOKUP(MID(A10,5,1),Referensi!$A$1:$C$6,2,FALSE)</f>
        <v>Kartu Debit</v>
      </c>
      <c r="M10" s="2" t="str">
        <f t="shared" si="1"/>
        <v>Lama</v>
      </c>
      <c r="N10" s="8">
        <f t="shared" si="2"/>
        <v>8200000</v>
      </c>
      <c r="O10" s="5">
        <f t="shared" si="3"/>
        <v>0</v>
      </c>
      <c r="P10" s="8">
        <f t="shared" si="4"/>
        <v>8200000</v>
      </c>
      <c r="Q10" s="8">
        <f>P10-VLOOKUP(MID(A10,5,1),Referensi!$A$1:$C$6,3,FALSE)</f>
        <v>8193500</v>
      </c>
      <c r="R10" s="8">
        <f t="shared" si="5"/>
        <v>4043500</v>
      </c>
    </row>
    <row r="11" spans="1:18" x14ac:dyDescent="0.2">
      <c r="A11" t="s">
        <v>67</v>
      </c>
      <c r="B11" s="1">
        <v>45303</v>
      </c>
      <c r="C11" s="2" t="s">
        <v>12</v>
      </c>
      <c r="D11" s="2" t="s">
        <v>13</v>
      </c>
      <c r="E11" s="7" t="s">
        <v>294</v>
      </c>
      <c r="F11" s="2" t="s">
        <v>14</v>
      </c>
      <c r="G11" s="2" t="s">
        <v>15</v>
      </c>
      <c r="H11" s="2">
        <v>24</v>
      </c>
      <c r="I11" s="3">
        <v>2290000</v>
      </c>
      <c r="J11" s="3">
        <v>1290000</v>
      </c>
      <c r="K11" s="3" t="str">
        <f t="shared" si="0"/>
        <v>Eko Prasetyo</v>
      </c>
      <c r="L11" s="2" t="str">
        <f>VLOOKUP(MID(A11,5,1),Referensi!$A$1:$C$6,2,FALSE)</f>
        <v>Tunai</v>
      </c>
      <c r="M11" s="2" t="str">
        <f t="shared" si="1"/>
        <v>Baru</v>
      </c>
      <c r="N11" s="8">
        <f t="shared" si="2"/>
        <v>54960000</v>
      </c>
      <c r="O11" s="5">
        <f t="shared" si="3"/>
        <v>0.2</v>
      </c>
      <c r="P11" s="8">
        <f t="shared" si="4"/>
        <v>43968000</v>
      </c>
      <c r="Q11" s="8">
        <f>P11-VLOOKUP(MID(A11,5,1),Referensi!$A$1:$C$6,3,FALSE)</f>
        <v>43968000</v>
      </c>
      <c r="R11" s="8">
        <f t="shared" si="5"/>
        <v>13008000</v>
      </c>
    </row>
    <row r="12" spans="1:18" x14ac:dyDescent="0.2">
      <c r="A12" t="s">
        <v>68</v>
      </c>
      <c r="B12" s="1">
        <v>45303</v>
      </c>
      <c r="C12" s="2" t="s">
        <v>22</v>
      </c>
      <c r="D12" s="2" t="s">
        <v>29</v>
      </c>
      <c r="E12" s="7" t="s">
        <v>295</v>
      </c>
      <c r="F12" s="2" t="s">
        <v>16</v>
      </c>
      <c r="G12" s="2" t="s">
        <v>17</v>
      </c>
      <c r="H12" s="2">
        <v>14</v>
      </c>
      <c r="I12" s="3">
        <v>150000</v>
      </c>
      <c r="J12" s="3">
        <v>75000</v>
      </c>
      <c r="K12" s="3" t="str">
        <f t="shared" si="0"/>
        <v>Andi Saputra</v>
      </c>
      <c r="L12" s="2" t="str">
        <f>VLOOKUP(MID(A12,5,1),Referensi!$A$1:$C$6,2,FALSE)</f>
        <v>Kartu Debit</v>
      </c>
      <c r="M12" s="2" t="str">
        <f t="shared" si="1"/>
        <v>Lama</v>
      </c>
      <c r="N12" s="8">
        <f t="shared" si="2"/>
        <v>2100000</v>
      </c>
      <c r="O12" s="5">
        <f t="shared" si="3"/>
        <v>0</v>
      </c>
      <c r="P12" s="8">
        <f t="shared" si="4"/>
        <v>2100000</v>
      </c>
      <c r="Q12" s="8">
        <f>P12-VLOOKUP(MID(A12,5,1),Referensi!$A$1:$C$6,3,FALSE)</f>
        <v>2093500</v>
      </c>
      <c r="R12" s="8">
        <f t="shared" si="5"/>
        <v>1043500</v>
      </c>
    </row>
    <row r="13" spans="1:18" x14ac:dyDescent="0.2">
      <c r="A13" t="s">
        <v>69</v>
      </c>
      <c r="B13" s="1">
        <v>45303</v>
      </c>
      <c r="C13" s="2" t="s">
        <v>12</v>
      </c>
      <c r="D13" s="2" t="s">
        <v>33</v>
      </c>
      <c r="E13" s="7" t="s">
        <v>296</v>
      </c>
      <c r="F13" s="2" t="s">
        <v>27</v>
      </c>
      <c r="G13" s="2" t="s">
        <v>30</v>
      </c>
      <c r="H13" s="2">
        <v>31</v>
      </c>
      <c r="I13" s="3">
        <v>110000</v>
      </c>
      <c r="J13" s="3">
        <v>46000</v>
      </c>
      <c r="K13" s="3" t="str">
        <f t="shared" si="0"/>
        <v>Citra Dewi</v>
      </c>
      <c r="L13" s="2" t="str">
        <f>VLOOKUP(MID(A13,5,1),Referensi!$A$1:$C$6,2,FALSE)</f>
        <v>Kartu Debit</v>
      </c>
      <c r="M13" s="2" t="str">
        <f t="shared" si="1"/>
        <v>Baru</v>
      </c>
      <c r="N13" s="8">
        <f t="shared" si="2"/>
        <v>3410000</v>
      </c>
      <c r="O13" s="5">
        <f t="shared" si="3"/>
        <v>0</v>
      </c>
      <c r="P13" s="8">
        <f t="shared" si="4"/>
        <v>3410000</v>
      </c>
      <c r="Q13" s="8">
        <f>P13-VLOOKUP(MID(A13,5,1),Referensi!$A$1:$C$6,3,FALSE)</f>
        <v>3403500</v>
      </c>
      <c r="R13" s="8">
        <f t="shared" si="5"/>
        <v>1977500</v>
      </c>
    </row>
    <row r="14" spans="1:18" x14ac:dyDescent="0.2">
      <c r="A14" t="s">
        <v>70</v>
      </c>
      <c r="B14" s="1">
        <v>45304</v>
      </c>
      <c r="C14" s="2" t="s">
        <v>18</v>
      </c>
      <c r="D14" s="2" t="s">
        <v>19</v>
      </c>
      <c r="E14" s="7" t="s">
        <v>297</v>
      </c>
      <c r="F14" s="2" t="s">
        <v>14</v>
      </c>
      <c r="G14" s="2" t="s">
        <v>35</v>
      </c>
      <c r="H14" s="2">
        <v>39</v>
      </c>
      <c r="I14" s="3">
        <v>1010000</v>
      </c>
      <c r="J14" s="3">
        <v>535000</v>
      </c>
      <c r="K14" s="3" t="str">
        <f t="shared" si="0"/>
        <v>Citra Dewi</v>
      </c>
      <c r="L14" s="2" t="str">
        <f>VLOOKUP(MID(A14,5,1),Referensi!$A$1:$C$6,2,FALSE)</f>
        <v>Tunai</v>
      </c>
      <c r="M14" s="2" t="str">
        <f t="shared" si="1"/>
        <v>Baru</v>
      </c>
      <c r="N14" s="8">
        <f t="shared" si="2"/>
        <v>39390000</v>
      </c>
      <c r="O14" s="5">
        <f t="shared" si="3"/>
        <v>0.1</v>
      </c>
      <c r="P14" s="8">
        <f t="shared" si="4"/>
        <v>35451000</v>
      </c>
      <c r="Q14" s="8">
        <f>P14-VLOOKUP(MID(A14,5,1),Referensi!$A$1:$C$6,3,FALSE)</f>
        <v>35451000</v>
      </c>
      <c r="R14" s="8">
        <f t="shared" si="5"/>
        <v>14586000</v>
      </c>
    </row>
    <row r="15" spans="1:18" x14ac:dyDescent="0.2">
      <c r="A15" t="s">
        <v>71</v>
      </c>
      <c r="B15" s="1">
        <v>45305</v>
      </c>
      <c r="C15" s="2" t="s">
        <v>12</v>
      </c>
      <c r="D15" s="2" t="s">
        <v>33</v>
      </c>
      <c r="E15" s="7" t="s">
        <v>298</v>
      </c>
      <c r="F15" s="2" t="s">
        <v>16</v>
      </c>
      <c r="G15" s="2" t="s">
        <v>32</v>
      </c>
      <c r="H15" s="2">
        <v>26</v>
      </c>
      <c r="I15" s="3">
        <v>420000</v>
      </c>
      <c r="J15" s="3">
        <v>225000</v>
      </c>
      <c r="K15" s="3" t="str">
        <f t="shared" si="0"/>
        <v>Budi Santoso</v>
      </c>
      <c r="L15" s="2" t="str">
        <f>VLOOKUP(MID(A15,5,1),Referensi!$A$1:$C$6,2,FALSE)</f>
        <v>Transfer Bank</v>
      </c>
      <c r="M15" s="2" t="str">
        <f t="shared" si="1"/>
        <v>Baru</v>
      </c>
      <c r="N15" s="8">
        <f t="shared" si="2"/>
        <v>10920000</v>
      </c>
      <c r="O15" s="5">
        <f t="shared" si="3"/>
        <v>0</v>
      </c>
      <c r="P15" s="8">
        <f t="shared" si="4"/>
        <v>10920000</v>
      </c>
      <c r="Q15" s="8">
        <f>P15-VLOOKUP(MID(A15,5,1),Referensi!$A$1:$C$6,3,FALSE)</f>
        <v>10917500</v>
      </c>
      <c r="R15" s="8">
        <f t="shared" si="5"/>
        <v>5067500</v>
      </c>
    </row>
    <row r="16" spans="1:18" x14ac:dyDescent="0.2">
      <c r="A16" t="s">
        <v>72</v>
      </c>
      <c r="B16" s="1">
        <v>45305</v>
      </c>
      <c r="C16" s="2" t="s">
        <v>12</v>
      </c>
      <c r="D16" s="2" t="s">
        <v>33</v>
      </c>
      <c r="E16" s="7" t="s">
        <v>299</v>
      </c>
      <c r="F16" s="2" t="s">
        <v>16</v>
      </c>
      <c r="G16" s="2" t="s">
        <v>36</v>
      </c>
      <c r="H16" s="2">
        <v>37</v>
      </c>
      <c r="I16" s="3">
        <v>280000</v>
      </c>
      <c r="J16" s="3">
        <v>130000</v>
      </c>
      <c r="K16" s="3" t="str">
        <f t="shared" si="0"/>
        <v>Fitri Handayani</v>
      </c>
      <c r="L16" s="2" t="str">
        <f>VLOOKUP(MID(A16,5,1),Referensi!$A$1:$C$6,2,FALSE)</f>
        <v>QRIS</v>
      </c>
      <c r="M16" s="2" t="str">
        <f t="shared" si="1"/>
        <v>Baru</v>
      </c>
      <c r="N16" s="8">
        <f t="shared" si="2"/>
        <v>10360000</v>
      </c>
      <c r="O16" s="5">
        <f t="shared" si="3"/>
        <v>0</v>
      </c>
      <c r="P16" s="8">
        <f t="shared" si="4"/>
        <v>10360000</v>
      </c>
      <c r="Q16" s="8">
        <f>P16-VLOOKUP(MID(A16,5,1),Referensi!$A$1:$C$6,3,FALSE)</f>
        <v>10359000</v>
      </c>
      <c r="R16" s="8">
        <f t="shared" si="5"/>
        <v>5549000</v>
      </c>
    </row>
    <row r="17" spans="1:18" x14ac:dyDescent="0.2">
      <c r="A17" t="s">
        <v>73</v>
      </c>
      <c r="B17" s="1">
        <v>45305</v>
      </c>
      <c r="C17" s="2" t="s">
        <v>12</v>
      </c>
      <c r="D17" s="2" t="s">
        <v>13</v>
      </c>
      <c r="E17" s="7" t="s">
        <v>300</v>
      </c>
      <c r="F17" s="2" t="s">
        <v>16</v>
      </c>
      <c r="G17" s="2" t="s">
        <v>36</v>
      </c>
      <c r="H17" s="2">
        <v>36</v>
      </c>
      <c r="I17" s="3">
        <v>280000</v>
      </c>
      <c r="J17" s="3">
        <v>130000</v>
      </c>
      <c r="K17" s="3" t="str">
        <f t="shared" si="0"/>
        <v>Fitri Handayani</v>
      </c>
      <c r="L17" s="2" t="str">
        <f>VLOOKUP(MID(A17,5,1),Referensi!$A$1:$C$6,2,FALSE)</f>
        <v>Kartu Kredit</v>
      </c>
      <c r="M17" s="2" t="str">
        <f t="shared" si="1"/>
        <v>Baru</v>
      </c>
      <c r="N17" s="8">
        <f t="shared" si="2"/>
        <v>10080000</v>
      </c>
      <c r="O17" s="5">
        <f t="shared" si="3"/>
        <v>0</v>
      </c>
      <c r="P17" s="8">
        <f t="shared" si="4"/>
        <v>10080000</v>
      </c>
      <c r="Q17" s="8">
        <f>P17-VLOOKUP(MID(A17,5,1),Referensi!$A$1:$C$6,3,FALSE)</f>
        <v>10070000</v>
      </c>
      <c r="R17" s="8">
        <f t="shared" si="5"/>
        <v>5390000</v>
      </c>
    </row>
    <row r="18" spans="1:18" x14ac:dyDescent="0.2">
      <c r="A18" t="s">
        <v>74</v>
      </c>
      <c r="B18" s="1">
        <v>45306</v>
      </c>
      <c r="C18" s="2" t="s">
        <v>22</v>
      </c>
      <c r="D18" s="2" t="s">
        <v>23</v>
      </c>
      <c r="E18" s="7" t="s">
        <v>301</v>
      </c>
      <c r="F18" s="2" t="s">
        <v>27</v>
      </c>
      <c r="G18" s="2" t="s">
        <v>28</v>
      </c>
      <c r="H18" s="2">
        <v>5</v>
      </c>
      <c r="I18" s="3">
        <v>295000</v>
      </c>
      <c r="J18" s="3">
        <v>138000</v>
      </c>
      <c r="K18" s="3" t="str">
        <f t="shared" si="0"/>
        <v>Budi Santoso</v>
      </c>
      <c r="L18" s="2" t="str">
        <f>VLOOKUP(MID(A18,5,1),Referensi!$A$1:$C$6,2,FALSE)</f>
        <v>Kartu Debit</v>
      </c>
      <c r="M18" s="2" t="str">
        <f t="shared" si="1"/>
        <v>Lama</v>
      </c>
      <c r="N18" s="8">
        <f t="shared" si="2"/>
        <v>1475000</v>
      </c>
      <c r="O18" s="5">
        <f t="shared" si="3"/>
        <v>0</v>
      </c>
      <c r="P18" s="8">
        <f t="shared" si="4"/>
        <v>1475000</v>
      </c>
      <c r="Q18" s="8">
        <f>P18-VLOOKUP(MID(A18,5,1),Referensi!$A$1:$C$6,3,FALSE)</f>
        <v>1468500</v>
      </c>
      <c r="R18" s="8">
        <f t="shared" si="5"/>
        <v>778500</v>
      </c>
    </row>
    <row r="19" spans="1:18" x14ac:dyDescent="0.2">
      <c r="A19" t="s">
        <v>75</v>
      </c>
      <c r="B19" s="1">
        <v>45307</v>
      </c>
      <c r="C19" s="2" t="s">
        <v>12</v>
      </c>
      <c r="D19" s="2" t="s">
        <v>13</v>
      </c>
      <c r="E19" s="7" t="s">
        <v>302</v>
      </c>
      <c r="F19" s="2" t="s">
        <v>27</v>
      </c>
      <c r="G19" s="2" t="s">
        <v>28</v>
      </c>
      <c r="H19" s="2">
        <v>33</v>
      </c>
      <c r="I19" s="3">
        <v>295000</v>
      </c>
      <c r="J19" s="3">
        <v>138000</v>
      </c>
      <c r="K19" s="3" t="str">
        <f t="shared" si="0"/>
        <v>Andi Saputra</v>
      </c>
      <c r="L19" s="2" t="str">
        <f>VLOOKUP(MID(A19,5,1),Referensi!$A$1:$C$6,2,FALSE)</f>
        <v>Transfer Bank</v>
      </c>
      <c r="M19" s="2" t="str">
        <f t="shared" si="1"/>
        <v>Lama</v>
      </c>
      <c r="N19" s="8">
        <f t="shared" si="2"/>
        <v>9735000</v>
      </c>
      <c r="O19" s="5">
        <f t="shared" si="3"/>
        <v>0</v>
      </c>
      <c r="P19" s="8">
        <f t="shared" si="4"/>
        <v>9735000</v>
      </c>
      <c r="Q19" s="8">
        <f>P19-VLOOKUP(MID(A19,5,1),Referensi!$A$1:$C$6,3,FALSE)</f>
        <v>9732500</v>
      </c>
      <c r="R19" s="8">
        <f t="shared" si="5"/>
        <v>5178500</v>
      </c>
    </row>
    <row r="20" spans="1:18" x14ac:dyDescent="0.2">
      <c r="A20" t="s">
        <v>76</v>
      </c>
      <c r="B20" s="1">
        <v>45307</v>
      </c>
      <c r="C20" s="2" t="s">
        <v>22</v>
      </c>
      <c r="D20" s="2" t="s">
        <v>29</v>
      </c>
      <c r="E20" s="7" t="s">
        <v>303</v>
      </c>
      <c r="F20" s="2" t="s">
        <v>27</v>
      </c>
      <c r="G20" s="2" t="s">
        <v>30</v>
      </c>
      <c r="H20" s="2">
        <v>8</v>
      </c>
      <c r="I20" s="3">
        <v>110000</v>
      </c>
      <c r="J20" s="3">
        <v>46000</v>
      </c>
      <c r="K20" s="3" t="str">
        <f t="shared" si="0"/>
        <v>Eko Prasetyo</v>
      </c>
      <c r="L20" s="2" t="str">
        <f>VLOOKUP(MID(A20,5,1),Referensi!$A$1:$C$6,2,FALSE)</f>
        <v>QRIS</v>
      </c>
      <c r="M20" s="2" t="str">
        <f t="shared" si="1"/>
        <v>Lama</v>
      </c>
      <c r="N20" s="8">
        <f t="shared" si="2"/>
        <v>880000</v>
      </c>
      <c r="O20" s="5">
        <f t="shared" si="3"/>
        <v>0</v>
      </c>
      <c r="P20" s="8">
        <f t="shared" si="4"/>
        <v>880000</v>
      </c>
      <c r="Q20" s="8">
        <f>P20-VLOOKUP(MID(A20,5,1),Referensi!$A$1:$C$6,3,FALSE)</f>
        <v>879000</v>
      </c>
      <c r="R20" s="8">
        <f t="shared" si="5"/>
        <v>511000</v>
      </c>
    </row>
    <row r="21" spans="1:18" x14ac:dyDescent="0.2">
      <c r="A21" t="s">
        <v>77</v>
      </c>
      <c r="B21" s="1">
        <v>45307</v>
      </c>
      <c r="C21" s="2" t="s">
        <v>25</v>
      </c>
      <c r="D21" s="2" t="s">
        <v>26</v>
      </c>
      <c r="E21" s="7" t="s">
        <v>304</v>
      </c>
      <c r="F21" s="2" t="s">
        <v>16</v>
      </c>
      <c r="G21" s="2" t="s">
        <v>36</v>
      </c>
      <c r="H21" s="2">
        <v>32</v>
      </c>
      <c r="I21" s="3">
        <v>280000</v>
      </c>
      <c r="J21" s="3">
        <v>130000</v>
      </c>
      <c r="K21" s="3" t="str">
        <f t="shared" si="0"/>
        <v>Gilang Ramadhan</v>
      </c>
      <c r="L21" s="2" t="str">
        <f>VLOOKUP(MID(A21,5,1),Referensi!$A$1:$C$6,2,FALSE)</f>
        <v>Transfer Bank</v>
      </c>
      <c r="M21" s="2" t="str">
        <f t="shared" si="1"/>
        <v>Lama</v>
      </c>
      <c r="N21" s="8">
        <f t="shared" si="2"/>
        <v>8960000</v>
      </c>
      <c r="O21" s="5">
        <f t="shared" si="3"/>
        <v>0</v>
      </c>
      <c r="P21" s="8">
        <f t="shared" si="4"/>
        <v>8960000</v>
      </c>
      <c r="Q21" s="8">
        <f>P21-VLOOKUP(MID(A21,5,1),Referensi!$A$1:$C$6,3,FALSE)</f>
        <v>8957500</v>
      </c>
      <c r="R21" s="8">
        <f t="shared" si="5"/>
        <v>4797500</v>
      </c>
    </row>
    <row r="22" spans="1:18" x14ac:dyDescent="0.2">
      <c r="A22" t="s">
        <v>78</v>
      </c>
      <c r="B22" s="1">
        <v>45308</v>
      </c>
      <c r="C22" s="2" t="s">
        <v>25</v>
      </c>
      <c r="D22" s="2" t="s">
        <v>26</v>
      </c>
      <c r="E22" s="7" t="s">
        <v>305</v>
      </c>
      <c r="F22" s="2" t="s">
        <v>27</v>
      </c>
      <c r="G22" s="2" t="s">
        <v>30</v>
      </c>
      <c r="H22" s="2">
        <v>27</v>
      </c>
      <c r="I22" s="3">
        <v>110000</v>
      </c>
      <c r="J22" s="3">
        <v>46000</v>
      </c>
      <c r="K22" s="3" t="str">
        <f t="shared" si="0"/>
        <v>Fitri Handayani</v>
      </c>
      <c r="L22" s="2" t="str">
        <f>VLOOKUP(MID(A22,5,1),Referensi!$A$1:$C$6,2,FALSE)</f>
        <v>QRIS</v>
      </c>
      <c r="M22" s="2" t="str">
        <f t="shared" si="1"/>
        <v>Baru</v>
      </c>
      <c r="N22" s="8">
        <f t="shared" si="2"/>
        <v>2970000</v>
      </c>
      <c r="O22" s="5">
        <f t="shared" si="3"/>
        <v>0</v>
      </c>
      <c r="P22" s="8">
        <f t="shared" si="4"/>
        <v>2970000</v>
      </c>
      <c r="Q22" s="8">
        <f>P22-VLOOKUP(MID(A22,5,1),Referensi!$A$1:$C$6,3,FALSE)</f>
        <v>2969000</v>
      </c>
      <c r="R22" s="8">
        <f t="shared" si="5"/>
        <v>1727000</v>
      </c>
    </row>
    <row r="23" spans="1:18" x14ac:dyDescent="0.2">
      <c r="A23" t="s">
        <v>79</v>
      </c>
      <c r="B23" s="1">
        <v>45308</v>
      </c>
      <c r="C23" s="2" t="s">
        <v>25</v>
      </c>
      <c r="D23" s="2" t="s">
        <v>37</v>
      </c>
      <c r="E23" s="7" t="s">
        <v>306</v>
      </c>
      <c r="F23" s="2" t="s">
        <v>20</v>
      </c>
      <c r="G23" s="2" t="s">
        <v>38</v>
      </c>
      <c r="H23" s="2">
        <v>3</v>
      </c>
      <c r="I23" s="3">
        <v>48000</v>
      </c>
      <c r="J23" s="3">
        <v>19000</v>
      </c>
      <c r="K23" s="3" t="str">
        <f t="shared" si="0"/>
        <v>Eko Prasetyo</v>
      </c>
      <c r="L23" s="2" t="str">
        <f>VLOOKUP(MID(A23,5,1),Referensi!$A$1:$C$6,2,FALSE)</f>
        <v>Transfer Bank</v>
      </c>
      <c r="M23" s="2" t="str">
        <f t="shared" si="1"/>
        <v>Baru</v>
      </c>
      <c r="N23" s="8">
        <f t="shared" si="2"/>
        <v>144000</v>
      </c>
      <c r="O23" s="5">
        <f t="shared" si="3"/>
        <v>0</v>
      </c>
      <c r="P23" s="8">
        <f t="shared" si="4"/>
        <v>144000</v>
      </c>
      <c r="Q23" s="8">
        <f>P23-VLOOKUP(MID(A23,5,1),Referensi!$A$1:$C$6,3,FALSE)</f>
        <v>141500</v>
      </c>
      <c r="R23" s="8">
        <f t="shared" si="5"/>
        <v>84500</v>
      </c>
    </row>
    <row r="24" spans="1:18" x14ac:dyDescent="0.2">
      <c r="A24" t="s">
        <v>80</v>
      </c>
      <c r="B24" s="1">
        <v>45309</v>
      </c>
      <c r="C24" s="2" t="s">
        <v>22</v>
      </c>
      <c r="D24" s="2" t="s">
        <v>23</v>
      </c>
      <c r="E24" s="7" t="s">
        <v>307</v>
      </c>
      <c r="F24" s="2" t="s">
        <v>14</v>
      </c>
      <c r="G24" s="2" t="s">
        <v>39</v>
      </c>
      <c r="H24" s="2">
        <v>10</v>
      </c>
      <c r="I24" s="3">
        <v>1190000</v>
      </c>
      <c r="J24" s="3">
        <v>630000</v>
      </c>
      <c r="K24" s="3" t="str">
        <f t="shared" si="0"/>
        <v>Dewi Lestari</v>
      </c>
      <c r="L24" s="2" t="str">
        <f>VLOOKUP(MID(A24,5,1),Referensi!$A$1:$C$6,2,FALSE)</f>
        <v>Transfer Bank</v>
      </c>
      <c r="M24" s="2" t="str">
        <f t="shared" si="1"/>
        <v>Lama</v>
      </c>
      <c r="N24" s="8">
        <f t="shared" si="2"/>
        <v>11900000</v>
      </c>
      <c r="O24" s="5">
        <f t="shared" si="3"/>
        <v>0</v>
      </c>
      <c r="P24" s="8">
        <f t="shared" si="4"/>
        <v>11900000</v>
      </c>
      <c r="Q24" s="8">
        <f>P24-VLOOKUP(MID(A24,5,1),Referensi!$A$1:$C$6,3,FALSE)</f>
        <v>11897500</v>
      </c>
      <c r="R24" s="8">
        <f t="shared" si="5"/>
        <v>5597500</v>
      </c>
    </row>
    <row r="25" spans="1:18" x14ac:dyDescent="0.2">
      <c r="A25" t="s">
        <v>81</v>
      </c>
      <c r="B25" s="1">
        <v>45309</v>
      </c>
      <c r="C25" s="2" t="s">
        <v>18</v>
      </c>
      <c r="D25" s="2" t="s">
        <v>19</v>
      </c>
      <c r="E25" s="7" t="s">
        <v>308</v>
      </c>
      <c r="F25" s="2" t="s">
        <v>14</v>
      </c>
      <c r="G25" s="2" t="s">
        <v>35</v>
      </c>
      <c r="H25" s="2">
        <v>7</v>
      </c>
      <c r="I25" s="3">
        <v>1010000</v>
      </c>
      <c r="J25" s="3">
        <v>535000</v>
      </c>
      <c r="K25" s="3" t="str">
        <f t="shared" si="0"/>
        <v>Budi Santoso</v>
      </c>
      <c r="L25" s="2" t="str">
        <f>VLOOKUP(MID(A25,5,1),Referensi!$A$1:$C$6,2,FALSE)</f>
        <v>Kartu Debit</v>
      </c>
      <c r="M25" s="2" t="str">
        <f t="shared" si="1"/>
        <v>Lama</v>
      </c>
      <c r="N25" s="8">
        <f t="shared" si="2"/>
        <v>7070000</v>
      </c>
      <c r="O25" s="5">
        <f t="shared" si="3"/>
        <v>0</v>
      </c>
      <c r="P25" s="8">
        <f t="shared" si="4"/>
        <v>7070000</v>
      </c>
      <c r="Q25" s="8">
        <f>P25-VLOOKUP(MID(A25,5,1),Referensi!$A$1:$C$6,3,FALSE)</f>
        <v>7063500</v>
      </c>
      <c r="R25" s="8">
        <f t="shared" si="5"/>
        <v>3318500</v>
      </c>
    </row>
    <row r="26" spans="1:18" x14ac:dyDescent="0.2">
      <c r="A26" t="s">
        <v>82</v>
      </c>
      <c r="B26" s="1">
        <v>45312</v>
      </c>
      <c r="C26" s="2" t="s">
        <v>12</v>
      </c>
      <c r="D26" s="2" t="s">
        <v>13</v>
      </c>
      <c r="E26" s="7" t="s">
        <v>309</v>
      </c>
      <c r="F26" s="2" t="s">
        <v>16</v>
      </c>
      <c r="G26" s="2" t="s">
        <v>24</v>
      </c>
      <c r="H26" s="2">
        <v>18</v>
      </c>
      <c r="I26" s="3">
        <v>370000</v>
      </c>
      <c r="J26" s="3">
        <v>195000</v>
      </c>
      <c r="K26" s="3" t="str">
        <f t="shared" si="0"/>
        <v>Budi Santoso</v>
      </c>
      <c r="L26" s="2" t="str">
        <f>VLOOKUP(MID(A26,5,1),Referensi!$A$1:$C$6,2,FALSE)</f>
        <v>Tunai</v>
      </c>
      <c r="M26" s="2" t="str">
        <f t="shared" si="1"/>
        <v>Lama</v>
      </c>
      <c r="N26" s="8">
        <f t="shared" si="2"/>
        <v>6660000</v>
      </c>
      <c r="O26" s="5">
        <f t="shared" si="3"/>
        <v>0</v>
      </c>
      <c r="P26" s="8">
        <f t="shared" si="4"/>
        <v>6660000</v>
      </c>
      <c r="Q26" s="8">
        <f>P26-VLOOKUP(MID(A26,5,1),Referensi!$A$1:$C$6,3,FALSE)</f>
        <v>6660000</v>
      </c>
      <c r="R26" s="8">
        <f t="shared" si="5"/>
        <v>3150000</v>
      </c>
    </row>
    <row r="27" spans="1:18" x14ac:dyDescent="0.2">
      <c r="A27" t="s">
        <v>83</v>
      </c>
      <c r="B27" s="1">
        <v>45312</v>
      </c>
      <c r="C27" s="2" t="s">
        <v>18</v>
      </c>
      <c r="D27" s="2" t="s">
        <v>40</v>
      </c>
      <c r="E27" s="7" t="s">
        <v>310</v>
      </c>
      <c r="F27" s="2" t="s">
        <v>20</v>
      </c>
      <c r="G27" s="2" t="s">
        <v>38</v>
      </c>
      <c r="H27" s="2">
        <v>37</v>
      </c>
      <c r="I27" s="3">
        <v>48000</v>
      </c>
      <c r="J27" s="3">
        <v>19000</v>
      </c>
      <c r="K27" s="3" t="str">
        <f t="shared" si="0"/>
        <v>Eko Prasetyo</v>
      </c>
      <c r="L27" s="2" t="str">
        <f>VLOOKUP(MID(A27,5,1),Referensi!$A$1:$C$6,2,FALSE)</f>
        <v>Transfer Bank</v>
      </c>
      <c r="M27" s="2" t="str">
        <f t="shared" si="1"/>
        <v>Lama</v>
      </c>
      <c r="N27" s="8">
        <f t="shared" si="2"/>
        <v>1776000</v>
      </c>
      <c r="O27" s="5">
        <f t="shared" si="3"/>
        <v>0</v>
      </c>
      <c r="P27" s="8">
        <f t="shared" si="4"/>
        <v>1776000</v>
      </c>
      <c r="Q27" s="8">
        <f>P27-VLOOKUP(MID(A27,5,1),Referensi!$A$1:$C$6,3,FALSE)</f>
        <v>1773500</v>
      </c>
      <c r="R27" s="8">
        <f t="shared" si="5"/>
        <v>1070500</v>
      </c>
    </row>
    <row r="28" spans="1:18" x14ac:dyDescent="0.2">
      <c r="A28" t="s">
        <v>84</v>
      </c>
      <c r="B28" s="1">
        <v>45314</v>
      </c>
      <c r="C28" s="2" t="s">
        <v>25</v>
      </c>
      <c r="D28" s="2" t="s">
        <v>37</v>
      </c>
      <c r="E28" s="7" t="s">
        <v>311</v>
      </c>
      <c r="F28" s="2" t="s">
        <v>16</v>
      </c>
      <c r="G28" s="2" t="s">
        <v>32</v>
      </c>
      <c r="H28" s="2">
        <v>14</v>
      </c>
      <c r="I28" s="3">
        <v>420000</v>
      </c>
      <c r="J28" s="3">
        <v>225000</v>
      </c>
      <c r="K28" s="3" t="str">
        <f t="shared" si="0"/>
        <v>Andi Saputra</v>
      </c>
      <c r="L28" s="2" t="str">
        <f>VLOOKUP(MID(A28,5,1),Referensi!$A$1:$C$6,2,FALSE)</f>
        <v>Transfer Bank</v>
      </c>
      <c r="M28" s="2" t="str">
        <f t="shared" si="1"/>
        <v>Lama</v>
      </c>
      <c r="N28" s="8">
        <f t="shared" si="2"/>
        <v>5880000</v>
      </c>
      <c r="O28" s="5">
        <f t="shared" si="3"/>
        <v>0</v>
      </c>
      <c r="P28" s="8">
        <f t="shared" si="4"/>
        <v>5880000</v>
      </c>
      <c r="Q28" s="8">
        <f>P28-VLOOKUP(MID(A28,5,1),Referensi!$A$1:$C$6,3,FALSE)</f>
        <v>5877500</v>
      </c>
      <c r="R28" s="8">
        <f t="shared" si="5"/>
        <v>2727500</v>
      </c>
    </row>
    <row r="29" spans="1:18" x14ac:dyDescent="0.2">
      <c r="A29" t="s">
        <v>85</v>
      </c>
      <c r="B29" s="1">
        <v>45314</v>
      </c>
      <c r="C29" s="2" t="s">
        <v>12</v>
      </c>
      <c r="D29" s="2" t="s">
        <v>33</v>
      </c>
      <c r="E29" s="7" t="s">
        <v>312</v>
      </c>
      <c r="F29" s="2" t="s">
        <v>27</v>
      </c>
      <c r="G29" s="2" t="s">
        <v>30</v>
      </c>
      <c r="H29" s="2">
        <v>37</v>
      </c>
      <c r="I29" s="3">
        <v>110000</v>
      </c>
      <c r="J29" s="3">
        <v>46000</v>
      </c>
      <c r="K29" s="3" t="str">
        <f t="shared" si="0"/>
        <v>Dewi Lestari</v>
      </c>
      <c r="L29" s="2" t="str">
        <f>VLOOKUP(MID(A29,5,1),Referensi!$A$1:$C$6,2,FALSE)</f>
        <v>Kartu Kredit</v>
      </c>
      <c r="M29" s="2" t="str">
        <f t="shared" si="1"/>
        <v>Lama</v>
      </c>
      <c r="N29" s="8">
        <f t="shared" si="2"/>
        <v>4070000</v>
      </c>
      <c r="O29" s="5">
        <f t="shared" si="3"/>
        <v>0</v>
      </c>
      <c r="P29" s="8">
        <f t="shared" si="4"/>
        <v>4070000</v>
      </c>
      <c r="Q29" s="8">
        <f>P29-VLOOKUP(MID(A29,5,1),Referensi!$A$1:$C$6,3,FALSE)</f>
        <v>4060000</v>
      </c>
      <c r="R29" s="8">
        <f t="shared" si="5"/>
        <v>2358000</v>
      </c>
    </row>
    <row r="30" spans="1:18" x14ac:dyDescent="0.2">
      <c r="A30" t="s">
        <v>86</v>
      </c>
      <c r="B30" s="1">
        <v>45314</v>
      </c>
      <c r="C30" s="2" t="s">
        <v>12</v>
      </c>
      <c r="D30" s="2" t="s">
        <v>33</v>
      </c>
      <c r="E30" s="7" t="s">
        <v>313</v>
      </c>
      <c r="F30" s="2" t="s">
        <v>20</v>
      </c>
      <c r="G30" s="2" t="s">
        <v>41</v>
      </c>
      <c r="H30" s="2">
        <v>20</v>
      </c>
      <c r="I30" s="3">
        <v>75000</v>
      </c>
      <c r="J30" s="3">
        <v>28000</v>
      </c>
      <c r="K30" s="3" t="str">
        <f t="shared" si="0"/>
        <v>Budi Santoso</v>
      </c>
      <c r="L30" s="2" t="str">
        <f>VLOOKUP(MID(A30,5,1),Referensi!$A$1:$C$6,2,FALSE)</f>
        <v>Kartu Debit</v>
      </c>
      <c r="M30" s="2" t="str">
        <f t="shared" si="1"/>
        <v>Baru</v>
      </c>
      <c r="N30" s="8">
        <f t="shared" si="2"/>
        <v>1500000</v>
      </c>
      <c r="O30" s="5">
        <f t="shared" si="3"/>
        <v>0</v>
      </c>
      <c r="P30" s="8">
        <f t="shared" si="4"/>
        <v>1500000</v>
      </c>
      <c r="Q30" s="8">
        <f>P30-VLOOKUP(MID(A30,5,1),Referensi!$A$1:$C$6,3,FALSE)</f>
        <v>1493500</v>
      </c>
      <c r="R30" s="8">
        <f t="shared" si="5"/>
        <v>933500</v>
      </c>
    </row>
    <row r="31" spans="1:18" x14ac:dyDescent="0.2">
      <c r="A31" t="s">
        <v>87</v>
      </c>
      <c r="B31" s="1">
        <v>45315</v>
      </c>
      <c r="C31" s="2" t="s">
        <v>12</v>
      </c>
      <c r="D31" s="2" t="s">
        <v>33</v>
      </c>
      <c r="E31" s="7" t="s">
        <v>314</v>
      </c>
      <c r="F31" s="2" t="s">
        <v>20</v>
      </c>
      <c r="G31" s="2" t="s">
        <v>42</v>
      </c>
      <c r="H31" s="2">
        <v>13</v>
      </c>
      <c r="I31" s="3">
        <v>60000</v>
      </c>
      <c r="J31" s="3">
        <v>25000</v>
      </c>
      <c r="K31" s="3" t="str">
        <f t="shared" si="0"/>
        <v>Gilang Ramadhan</v>
      </c>
      <c r="L31" s="2" t="str">
        <f>VLOOKUP(MID(A31,5,1),Referensi!$A$1:$C$6,2,FALSE)</f>
        <v>Kartu Kredit</v>
      </c>
      <c r="M31" s="2" t="str">
        <f t="shared" si="1"/>
        <v>Lama</v>
      </c>
      <c r="N31" s="8">
        <f t="shared" si="2"/>
        <v>780000</v>
      </c>
      <c r="O31" s="5">
        <f t="shared" si="3"/>
        <v>0</v>
      </c>
      <c r="P31" s="8">
        <f t="shared" si="4"/>
        <v>780000</v>
      </c>
      <c r="Q31" s="8">
        <f>P31-VLOOKUP(MID(A31,5,1),Referensi!$A$1:$C$6,3,FALSE)</f>
        <v>770000</v>
      </c>
      <c r="R31" s="8">
        <f t="shared" si="5"/>
        <v>445000</v>
      </c>
    </row>
    <row r="32" spans="1:18" x14ac:dyDescent="0.2">
      <c r="A32" t="s">
        <v>88</v>
      </c>
      <c r="B32" s="1">
        <v>45315</v>
      </c>
      <c r="C32" s="2" t="s">
        <v>22</v>
      </c>
      <c r="D32" s="2" t="s">
        <v>23</v>
      </c>
      <c r="E32" s="7" t="s">
        <v>315</v>
      </c>
      <c r="F32" s="2" t="s">
        <v>14</v>
      </c>
      <c r="G32" s="2" t="s">
        <v>39</v>
      </c>
      <c r="H32" s="2">
        <v>16</v>
      </c>
      <c r="I32" s="3">
        <v>1190000</v>
      </c>
      <c r="J32" s="3">
        <v>630000</v>
      </c>
      <c r="K32" s="3" t="str">
        <f t="shared" si="0"/>
        <v>Andi Saputra</v>
      </c>
      <c r="L32" s="2" t="str">
        <f>VLOOKUP(MID(A32,5,1),Referensi!$A$1:$C$6,2,FALSE)</f>
        <v>Kartu Debit</v>
      </c>
      <c r="M32" s="2" t="str">
        <f t="shared" si="1"/>
        <v>Lama</v>
      </c>
      <c r="N32" s="8">
        <f t="shared" si="2"/>
        <v>19040000</v>
      </c>
      <c r="O32" s="5">
        <f t="shared" si="3"/>
        <v>0</v>
      </c>
      <c r="P32" s="8">
        <f t="shared" si="4"/>
        <v>19040000</v>
      </c>
      <c r="Q32" s="8">
        <f>P32-VLOOKUP(MID(A32,5,1),Referensi!$A$1:$C$6,3,FALSE)</f>
        <v>19033500</v>
      </c>
      <c r="R32" s="8">
        <f t="shared" si="5"/>
        <v>8953500</v>
      </c>
    </row>
    <row r="33" spans="1:18" x14ac:dyDescent="0.2">
      <c r="A33" t="s">
        <v>89</v>
      </c>
      <c r="B33" s="1">
        <v>45315</v>
      </c>
      <c r="C33" s="2" t="s">
        <v>25</v>
      </c>
      <c r="D33" s="2" t="s">
        <v>26</v>
      </c>
      <c r="E33" s="7" t="s">
        <v>316</v>
      </c>
      <c r="F33" s="2" t="s">
        <v>14</v>
      </c>
      <c r="G33" s="2" t="s">
        <v>15</v>
      </c>
      <c r="H33" s="2">
        <v>20</v>
      </c>
      <c r="I33" s="3">
        <v>2290000</v>
      </c>
      <c r="J33" s="3">
        <v>1290000</v>
      </c>
      <c r="K33" s="3" t="str">
        <f t="shared" si="0"/>
        <v>Andi Saputra</v>
      </c>
      <c r="L33" s="2" t="str">
        <f>VLOOKUP(MID(A33,5,1),Referensi!$A$1:$C$6,2,FALSE)</f>
        <v>Kartu Kredit</v>
      </c>
      <c r="M33" s="2" t="str">
        <f t="shared" si="1"/>
        <v>Lama</v>
      </c>
      <c r="N33" s="8">
        <f t="shared" si="2"/>
        <v>45800000</v>
      </c>
      <c r="O33" s="5">
        <f t="shared" si="3"/>
        <v>0</v>
      </c>
      <c r="P33" s="8">
        <f t="shared" si="4"/>
        <v>45800000</v>
      </c>
      <c r="Q33" s="8">
        <f>P33-VLOOKUP(MID(A33,5,1),Referensi!$A$1:$C$6,3,FALSE)</f>
        <v>45790000</v>
      </c>
      <c r="R33" s="8">
        <f t="shared" si="5"/>
        <v>19990000</v>
      </c>
    </row>
    <row r="34" spans="1:18" x14ac:dyDescent="0.2">
      <c r="A34" t="s">
        <v>90</v>
      </c>
      <c r="B34" s="1">
        <v>45315</v>
      </c>
      <c r="C34" s="2" t="s">
        <v>22</v>
      </c>
      <c r="D34" s="2" t="s">
        <v>29</v>
      </c>
      <c r="E34" s="7" t="s">
        <v>317</v>
      </c>
      <c r="F34" s="2" t="s">
        <v>16</v>
      </c>
      <c r="G34" s="2" t="s">
        <v>17</v>
      </c>
      <c r="H34" s="2">
        <v>27</v>
      </c>
      <c r="I34" s="3">
        <v>150000</v>
      </c>
      <c r="J34" s="3">
        <v>75000</v>
      </c>
      <c r="K34" s="3" t="str">
        <f t="shared" si="0"/>
        <v>Fitri Handayani</v>
      </c>
      <c r="L34" s="2" t="str">
        <f>VLOOKUP(MID(A34,5,1),Referensi!$A$1:$C$6,2,FALSE)</f>
        <v>Kartu Kredit</v>
      </c>
      <c r="M34" s="2" t="str">
        <f t="shared" si="1"/>
        <v>Baru</v>
      </c>
      <c r="N34" s="8">
        <f t="shared" si="2"/>
        <v>4050000</v>
      </c>
      <c r="O34" s="5">
        <f t="shared" si="3"/>
        <v>0</v>
      </c>
      <c r="P34" s="8">
        <f t="shared" si="4"/>
        <v>4050000</v>
      </c>
      <c r="Q34" s="8">
        <f>P34-VLOOKUP(MID(A34,5,1),Referensi!$A$1:$C$6,3,FALSE)</f>
        <v>4040000</v>
      </c>
      <c r="R34" s="8">
        <f t="shared" si="5"/>
        <v>2015000</v>
      </c>
    </row>
    <row r="35" spans="1:18" x14ac:dyDescent="0.2">
      <c r="A35" t="s">
        <v>91</v>
      </c>
      <c r="B35" s="1">
        <v>45315</v>
      </c>
      <c r="C35" s="2" t="s">
        <v>22</v>
      </c>
      <c r="D35" s="2" t="s">
        <v>23</v>
      </c>
      <c r="E35" s="7" t="s">
        <v>318</v>
      </c>
      <c r="F35" s="2" t="s">
        <v>14</v>
      </c>
      <c r="G35" s="2" t="s">
        <v>39</v>
      </c>
      <c r="H35" s="2">
        <v>37</v>
      </c>
      <c r="I35" s="3">
        <v>1190000</v>
      </c>
      <c r="J35" s="3">
        <v>630000</v>
      </c>
      <c r="K35" s="3" t="str">
        <f t="shared" si="0"/>
        <v>Citra Dewi</v>
      </c>
      <c r="L35" s="2" t="str">
        <f>VLOOKUP(MID(A35,5,1),Referensi!$A$1:$C$6,2,FALSE)</f>
        <v>Transfer Bank</v>
      </c>
      <c r="M35" s="2" t="str">
        <f t="shared" si="1"/>
        <v>Lama</v>
      </c>
      <c r="N35" s="8">
        <f t="shared" si="2"/>
        <v>44030000</v>
      </c>
      <c r="O35" s="5">
        <f t="shared" si="3"/>
        <v>0</v>
      </c>
      <c r="P35" s="8">
        <f t="shared" si="4"/>
        <v>44030000</v>
      </c>
      <c r="Q35" s="8">
        <f>P35-VLOOKUP(MID(A35,5,1),Referensi!$A$1:$C$6,3,FALSE)</f>
        <v>44027500</v>
      </c>
      <c r="R35" s="8">
        <f t="shared" si="5"/>
        <v>20717500</v>
      </c>
    </row>
    <row r="36" spans="1:18" x14ac:dyDescent="0.2">
      <c r="A36" t="s">
        <v>92</v>
      </c>
      <c r="B36" s="1">
        <v>45319</v>
      </c>
      <c r="C36" s="2" t="s">
        <v>22</v>
      </c>
      <c r="D36" s="2" t="s">
        <v>23</v>
      </c>
      <c r="E36" s="7" t="s">
        <v>319</v>
      </c>
      <c r="F36" s="2" t="s">
        <v>27</v>
      </c>
      <c r="G36" s="2" t="s">
        <v>30</v>
      </c>
      <c r="H36" s="2">
        <v>9</v>
      </c>
      <c r="I36" s="3">
        <v>110000</v>
      </c>
      <c r="J36" s="3">
        <v>46000</v>
      </c>
      <c r="K36" s="3" t="str">
        <f t="shared" si="0"/>
        <v>Dewi Lestari</v>
      </c>
      <c r="L36" s="2" t="str">
        <f>VLOOKUP(MID(A36,5,1),Referensi!$A$1:$C$6,2,FALSE)</f>
        <v>QRIS</v>
      </c>
      <c r="M36" s="2" t="str">
        <f t="shared" si="1"/>
        <v>Baru</v>
      </c>
      <c r="N36" s="8">
        <f t="shared" si="2"/>
        <v>990000</v>
      </c>
      <c r="O36" s="5">
        <f t="shared" si="3"/>
        <v>0</v>
      </c>
      <c r="P36" s="8">
        <f t="shared" si="4"/>
        <v>990000</v>
      </c>
      <c r="Q36" s="8">
        <f>P36-VLOOKUP(MID(A36,5,1),Referensi!$A$1:$C$6,3,FALSE)</f>
        <v>989000</v>
      </c>
      <c r="R36" s="8">
        <f t="shared" si="5"/>
        <v>575000</v>
      </c>
    </row>
    <row r="37" spans="1:18" x14ac:dyDescent="0.2">
      <c r="A37" t="s">
        <v>93</v>
      </c>
      <c r="B37" s="1">
        <v>45319</v>
      </c>
      <c r="C37" s="2" t="s">
        <v>25</v>
      </c>
      <c r="D37" s="2" t="s">
        <v>37</v>
      </c>
      <c r="E37" s="7" t="s">
        <v>320</v>
      </c>
      <c r="F37" s="2" t="s">
        <v>27</v>
      </c>
      <c r="G37" s="2" t="s">
        <v>43</v>
      </c>
      <c r="H37" s="2">
        <v>30</v>
      </c>
      <c r="I37" s="3">
        <v>87000</v>
      </c>
      <c r="J37" s="3">
        <v>37000</v>
      </c>
      <c r="K37" s="3" t="str">
        <f t="shared" si="0"/>
        <v>Citra Dewi</v>
      </c>
      <c r="L37" s="2" t="str">
        <f>VLOOKUP(MID(A37,5,1),Referensi!$A$1:$C$6,2,FALSE)</f>
        <v>Transfer Bank</v>
      </c>
      <c r="M37" s="2" t="str">
        <f t="shared" si="1"/>
        <v>Lama</v>
      </c>
      <c r="N37" s="8">
        <f t="shared" si="2"/>
        <v>2610000</v>
      </c>
      <c r="O37" s="5">
        <f t="shared" si="3"/>
        <v>0</v>
      </c>
      <c r="P37" s="8">
        <f t="shared" si="4"/>
        <v>2610000</v>
      </c>
      <c r="Q37" s="8">
        <f>P37-VLOOKUP(MID(A37,5,1),Referensi!$A$1:$C$6,3,FALSE)</f>
        <v>2607500</v>
      </c>
      <c r="R37" s="8">
        <f t="shared" si="5"/>
        <v>1497500</v>
      </c>
    </row>
    <row r="38" spans="1:18" x14ac:dyDescent="0.2">
      <c r="A38" t="s">
        <v>94</v>
      </c>
      <c r="B38" s="1">
        <v>45319</v>
      </c>
      <c r="C38" s="2" t="s">
        <v>22</v>
      </c>
      <c r="D38" s="2" t="s">
        <v>29</v>
      </c>
      <c r="E38" s="7" t="s">
        <v>321</v>
      </c>
      <c r="F38" s="2" t="s">
        <v>14</v>
      </c>
      <c r="G38" s="2" t="s">
        <v>39</v>
      </c>
      <c r="H38" s="2">
        <v>40</v>
      </c>
      <c r="I38" s="3">
        <v>1190000</v>
      </c>
      <c r="J38" s="3">
        <v>630000</v>
      </c>
      <c r="K38" s="3" t="str">
        <f t="shared" si="0"/>
        <v>Andi Saputra</v>
      </c>
      <c r="L38" s="2" t="str">
        <f>VLOOKUP(MID(A38,5,1),Referensi!$A$1:$C$6,2,FALSE)</f>
        <v>QRIS</v>
      </c>
      <c r="M38" s="2" t="str">
        <f t="shared" si="1"/>
        <v>Lama</v>
      </c>
      <c r="N38" s="8">
        <f t="shared" si="2"/>
        <v>47600000</v>
      </c>
      <c r="O38" s="5">
        <f t="shared" si="3"/>
        <v>0</v>
      </c>
      <c r="P38" s="8">
        <f t="shared" si="4"/>
        <v>47600000</v>
      </c>
      <c r="Q38" s="8">
        <f>P38-VLOOKUP(MID(A38,5,1),Referensi!$A$1:$C$6,3,FALSE)</f>
        <v>47599000</v>
      </c>
      <c r="R38" s="8">
        <f t="shared" si="5"/>
        <v>22399000</v>
      </c>
    </row>
    <row r="39" spans="1:18" x14ac:dyDescent="0.2">
      <c r="A39" t="s">
        <v>95</v>
      </c>
      <c r="B39" s="1">
        <v>45319</v>
      </c>
      <c r="C39" s="2" t="s">
        <v>25</v>
      </c>
      <c r="D39" s="2" t="s">
        <v>37</v>
      </c>
      <c r="E39" s="7" t="s">
        <v>322</v>
      </c>
      <c r="F39" s="2" t="s">
        <v>27</v>
      </c>
      <c r="G39" s="2" t="s">
        <v>43</v>
      </c>
      <c r="H39" s="2">
        <v>20</v>
      </c>
      <c r="I39" s="3">
        <v>87000</v>
      </c>
      <c r="J39" s="3">
        <v>37000</v>
      </c>
      <c r="K39" s="3" t="str">
        <f t="shared" si="0"/>
        <v>Andi Saputra</v>
      </c>
      <c r="L39" s="2" t="str">
        <f>VLOOKUP(MID(A39,5,1),Referensi!$A$1:$C$6,2,FALSE)</f>
        <v>Transfer Bank</v>
      </c>
      <c r="M39" s="2" t="str">
        <f t="shared" si="1"/>
        <v>Lama</v>
      </c>
      <c r="N39" s="8">
        <f t="shared" si="2"/>
        <v>1740000</v>
      </c>
      <c r="O39" s="5">
        <f t="shared" si="3"/>
        <v>0</v>
      </c>
      <c r="P39" s="8">
        <f t="shared" si="4"/>
        <v>1740000</v>
      </c>
      <c r="Q39" s="8">
        <f>P39-VLOOKUP(MID(A39,5,1),Referensi!$A$1:$C$6,3,FALSE)</f>
        <v>1737500</v>
      </c>
      <c r="R39" s="8">
        <f t="shared" si="5"/>
        <v>997500</v>
      </c>
    </row>
    <row r="40" spans="1:18" x14ac:dyDescent="0.2">
      <c r="A40" t="s">
        <v>96</v>
      </c>
      <c r="B40" s="1">
        <v>45320</v>
      </c>
      <c r="C40" s="2" t="s">
        <v>18</v>
      </c>
      <c r="D40" s="2" t="s">
        <v>40</v>
      </c>
      <c r="E40" s="7" t="s">
        <v>323</v>
      </c>
      <c r="F40" s="2" t="s">
        <v>16</v>
      </c>
      <c r="G40" s="2" t="s">
        <v>44</v>
      </c>
      <c r="H40" s="2">
        <v>24</v>
      </c>
      <c r="I40" s="3">
        <v>320000</v>
      </c>
      <c r="J40" s="3">
        <v>160000</v>
      </c>
      <c r="K40" s="3" t="str">
        <f t="shared" si="0"/>
        <v>Citra Dewi</v>
      </c>
      <c r="L40" s="2" t="str">
        <f>VLOOKUP(MID(A40,5,1),Referensi!$A$1:$C$6,2,FALSE)</f>
        <v>QRIS</v>
      </c>
      <c r="M40" s="2" t="str">
        <f t="shared" si="1"/>
        <v>Lama</v>
      </c>
      <c r="N40" s="8">
        <f t="shared" si="2"/>
        <v>7680000</v>
      </c>
      <c r="O40" s="5">
        <f t="shared" si="3"/>
        <v>0</v>
      </c>
      <c r="P40" s="8">
        <f t="shared" si="4"/>
        <v>7680000</v>
      </c>
      <c r="Q40" s="8">
        <f>P40-VLOOKUP(MID(A40,5,1),Referensi!$A$1:$C$6,3,FALSE)</f>
        <v>7679000</v>
      </c>
      <c r="R40" s="8">
        <f t="shared" si="5"/>
        <v>3839000</v>
      </c>
    </row>
    <row r="41" spans="1:18" x14ac:dyDescent="0.2">
      <c r="A41" t="s">
        <v>97</v>
      </c>
      <c r="B41" s="1">
        <v>45321</v>
      </c>
      <c r="C41" s="2" t="s">
        <v>18</v>
      </c>
      <c r="D41" s="2" t="s">
        <v>19</v>
      </c>
      <c r="E41" s="7" t="s">
        <v>324</v>
      </c>
      <c r="F41" s="2" t="s">
        <v>14</v>
      </c>
      <c r="G41" s="2" t="s">
        <v>34</v>
      </c>
      <c r="H41" s="2">
        <v>30</v>
      </c>
      <c r="I41" s="3">
        <v>820000</v>
      </c>
      <c r="J41" s="3">
        <v>415000</v>
      </c>
      <c r="K41" s="3" t="str">
        <f t="shared" si="0"/>
        <v>Citra Dewi</v>
      </c>
      <c r="L41" s="2" t="str">
        <f>VLOOKUP(MID(A41,5,1),Referensi!$A$1:$C$6,2,FALSE)</f>
        <v>Tunai</v>
      </c>
      <c r="M41" s="2" t="str">
        <f t="shared" si="1"/>
        <v>Lama</v>
      </c>
      <c r="N41" s="8">
        <f t="shared" si="2"/>
        <v>24600000</v>
      </c>
      <c r="O41" s="5">
        <f t="shared" si="3"/>
        <v>0</v>
      </c>
      <c r="P41" s="8">
        <f t="shared" si="4"/>
        <v>24600000</v>
      </c>
      <c r="Q41" s="8">
        <f>P41-VLOOKUP(MID(A41,5,1),Referensi!$A$1:$C$6,3,FALSE)</f>
        <v>24600000</v>
      </c>
      <c r="R41" s="8">
        <f t="shared" si="5"/>
        <v>12150000</v>
      </c>
    </row>
    <row r="42" spans="1:18" x14ac:dyDescent="0.2">
      <c r="A42" t="s">
        <v>98</v>
      </c>
      <c r="B42" s="1">
        <v>45321</v>
      </c>
      <c r="C42" s="2" t="s">
        <v>12</v>
      </c>
      <c r="D42" s="2" t="s">
        <v>33</v>
      </c>
      <c r="E42" s="7" t="s">
        <v>325</v>
      </c>
      <c r="F42" s="2" t="s">
        <v>20</v>
      </c>
      <c r="G42" s="2" t="s">
        <v>41</v>
      </c>
      <c r="H42" s="2">
        <v>38</v>
      </c>
      <c r="I42" s="3">
        <v>75000</v>
      </c>
      <c r="J42" s="3">
        <v>28000</v>
      </c>
      <c r="K42" s="3" t="str">
        <f t="shared" si="0"/>
        <v>Budi Santoso</v>
      </c>
      <c r="L42" s="2" t="str">
        <f>VLOOKUP(MID(A42,5,1),Referensi!$A$1:$C$6,2,FALSE)</f>
        <v>Kartu Kredit</v>
      </c>
      <c r="M42" s="2" t="str">
        <f t="shared" si="1"/>
        <v>Lama</v>
      </c>
      <c r="N42" s="8">
        <f t="shared" si="2"/>
        <v>2850000</v>
      </c>
      <c r="O42" s="5">
        <f t="shared" si="3"/>
        <v>0</v>
      </c>
      <c r="P42" s="8">
        <f t="shared" si="4"/>
        <v>2850000</v>
      </c>
      <c r="Q42" s="8">
        <f>P42-VLOOKUP(MID(A42,5,1),Referensi!$A$1:$C$6,3,FALSE)</f>
        <v>2840000</v>
      </c>
      <c r="R42" s="8">
        <f t="shared" si="5"/>
        <v>1776000</v>
      </c>
    </row>
    <row r="43" spans="1:18" x14ac:dyDescent="0.2">
      <c r="A43" t="s">
        <v>99</v>
      </c>
      <c r="B43" s="1">
        <v>45323</v>
      </c>
      <c r="C43" s="2" t="s">
        <v>12</v>
      </c>
      <c r="D43" s="2" t="s">
        <v>13</v>
      </c>
      <c r="E43" s="7" t="s">
        <v>326</v>
      </c>
      <c r="F43" s="2" t="s">
        <v>20</v>
      </c>
      <c r="G43" s="2" t="s">
        <v>21</v>
      </c>
      <c r="H43" s="2">
        <v>29</v>
      </c>
      <c r="I43" s="3">
        <v>145000</v>
      </c>
      <c r="J43" s="3">
        <v>62000</v>
      </c>
      <c r="K43" s="3" t="str">
        <f t="shared" si="0"/>
        <v>Citra Dewi</v>
      </c>
      <c r="L43" s="2" t="str">
        <f>VLOOKUP(MID(A43,5,1),Referensi!$A$1:$C$6,2,FALSE)</f>
        <v>QRIS</v>
      </c>
      <c r="M43" s="2" t="str">
        <f t="shared" si="1"/>
        <v>Baru</v>
      </c>
      <c r="N43" s="8">
        <f t="shared" si="2"/>
        <v>4205000</v>
      </c>
      <c r="O43" s="5">
        <f t="shared" si="3"/>
        <v>0</v>
      </c>
      <c r="P43" s="8">
        <f t="shared" si="4"/>
        <v>4205000</v>
      </c>
      <c r="Q43" s="8">
        <f>P43-VLOOKUP(MID(A43,5,1),Referensi!$A$1:$C$6,3,FALSE)</f>
        <v>4204000</v>
      </c>
      <c r="R43" s="8">
        <f t="shared" si="5"/>
        <v>2406000</v>
      </c>
    </row>
    <row r="44" spans="1:18" x14ac:dyDescent="0.2">
      <c r="A44" t="s">
        <v>100</v>
      </c>
      <c r="B44" s="1">
        <v>45323</v>
      </c>
      <c r="C44" s="2" t="s">
        <v>22</v>
      </c>
      <c r="D44" s="2" t="s">
        <v>29</v>
      </c>
      <c r="E44" s="7" t="s">
        <v>327</v>
      </c>
      <c r="F44" s="2" t="s">
        <v>20</v>
      </c>
      <c r="G44" s="2" t="s">
        <v>42</v>
      </c>
      <c r="H44" s="2">
        <v>21</v>
      </c>
      <c r="I44" s="3">
        <v>60000</v>
      </c>
      <c r="J44" s="3">
        <v>25000</v>
      </c>
      <c r="K44" s="3" t="str">
        <f t="shared" si="0"/>
        <v>Citra Dewi</v>
      </c>
      <c r="L44" s="2" t="str">
        <f>VLOOKUP(MID(A44,5,1),Referensi!$A$1:$C$6,2,FALSE)</f>
        <v>Tunai</v>
      </c>
      <c r="M44" s="2" t="str">
        <f t="shared" si="1"/>
        <v>Baru</v>
      </c>
      <c r="N44" s="8">
        <f t="shared" si="2"/>
        <v>1260000</v>
      </c>
      <c r="O44" s="5">
        <f t="shared" si="3"/>
        <v>0</v>
      </c>
      <c r="P44" s="8">
        <f t="shared" si="4"/>
        <v>1260000</v>
      </c>
      <c r="Q44" s="8">
        <f>P44-VLOOKUP(MID(A44,5,1),Referensi!$A$1:$C$6,3,FALSE)</f>
        <v>1260000</v>
      </c>
      <c r="R44" s="8">
        <f t="shared" si="5"/>
        <v>735000</v>
      </c>
    </row>
    <row r="45" spans="1:18" x14ac:dyDescent="0.2">
      <c r="A45" t="s">
        <v>101</v>
      </c>
      <c r="B45" s="1">
        <v>45324</v>
      </c>
      <c r="C45" s="2" t="s">
        <v>25</v>
      </c>
      <c r="D45" s="2" t="s">
        <v>37</v>
      </c>
      <c r="E45" s="7" t="s">
        <v>328</v>
      </c>
      <c r="F45" s="2" t="s">
        <v>27</v>
      </c>
      <c r="G45" s="2" t="s">
        <v>43</v>
      </c>
      <c r="H45" s="2">
        <v>39</v>
      </c>
      <c r="I45" s="3">
        <v>87000</v>
      </c>
      <c r="J45" s="3">
        <v>37000</v>
      </c>
      <c r="K45" s="3" t="str">
        <f t="shared" si="0"/>
        <v>Eko Prasetyo</v>
      </c>
      <c r="L45" s="2" t="str">
        <f>VLOOKUP(MID(A45,5,1),Referensi!$A$1:$C$6,2,FALSE)</f>
        <v>Tunai</v>
      </c>
      <c r="M45" s="2" t="str">
        <f t="shared" si="1"/>
        <v>Lama</v>
      </c>
      <c r="N45" s="8">
        <f t="shared" si="2"/>
        <v>3393000</v>
      </c>
      <c r="O45" s="5">
        <f t="shared" si="3"/>
        <v>0</v>
      </c>
      <c r="P45" s="8">
        <f t="shared" si="4"/>
        <v>3393000</v>
      </c>
      <c r="Q45" s="8">
        <f>P45-VLOOKUP(MID(A45,5,1),Referensi!$A$1:$C$6,3,FALSE)</f>
        <v>3393000</v>
      </c>
      <c r="R45" s="8">
        <f t="shared" si="5"/>
        <v>1950000</v>
      </c>
    </row>
    <row r="46" spans="1:18" x14ac:dyDescent="0.2">
      <c r="A46" t="s">
        <v>102</v>
      </c>
      <c r="B46" s="1">
        <v>45324</v>
      </c>
      <c r="C46" s="2" t="s">
        <v>18</v>
      </c>
      <c r="D46" s="2" t="s">
        <v>31</v>
      </c>
      <c r="E46" s="7" t="s">
        <v>329</v>
      </c>
      <c r="F46" s="2" t="s">
        <v>16</v>
      </c>
      <c r="G46" s="2" t="s">
        <v>44</v>
      </c>
      <c r="H46" s="2">
        <v>23</v>
      </c>
      <c r="I46" s="3">
        <v>320000</v>
      </c>
      <c r="J46" s="3">
        <v>160000</v>
      </c>
      <c r="K46" s="3" t="str">
        <f t="shared" si="0"/>
        <v>Fitri Handayani</v>
      </c>
      <c r="L46" s="2" t="str">
        <f>VLOOKUP(MID(A46,5,1),Referensi!$A$1:$C$6,2,FALSE)</f>
        <v>Transfer Bank</v>
      </c>
      <c r="M46" s="2" t="str">
        <f t="shared" si="1"/>
        <v>Lama</v>
      </c>
      <c r="N46" s="8">
        <f t="shared" si="2"/>
        <v>7360000</v>
      </c>
      <c r="O46" s="5">
        <f t="shared" si="3"/>
        <v>0</v>
      </c>
      <c r="P46" s="8">
        <f t="shared" si="4"/>
        <v>7360000</v>
      </c>
      <c r="Q46" s="8">
        <f>P46-VLOOKUP(MID(A46,5,1),Referensi!$A$1:$C$6,3,FALSE)</f>
        <v>7357500</v>
      </c>
      <c r="R46" s="8">
        <f t="shared" si="5"/>
        <v>3677500</v>
      </c>
    </row>
    <row r="47" spans="1:18" x14ac:dyDescent="0.2">
      <c r="A47" t="s">
        <v>103</v>
      </c>
      <c r="B47" s="1">
        <v>45325</v>
      </c>
      <c r="C47" s="2" t="s">
        <v>12</v>
      </c>
      <c r="D47" s="2" t="s">
        <v>13</v>
      </c>
      <c r="E47" s="7" t="s">
        <v>330</v>
      </c>
      <c r="F47" s="2" t="s">
        <v>14</v>
      </c>
      <c r="G47" s="2" t="s">
        <v>15</v>
      </c>
      <c r="H47" s="2">
        <v>19</v>
      </c>
      <c r="I47" s="3">
        <v>2290000</v>
      </c>
      <c r="J47" s="3">
        <v>1290000</v>
      </c>
      <c r="K47" s="3" t="str">
        <f t="shared" si="0"/>
        <v>Dewi Lestari</v>
      </c>
      <c r="L47" s="2" t="str">
        <f>VLOOKUP(MID(A47,5,1),Referensi!$A$1:$C$6,2,FALSE)</f>
        <v>Tunai</v>
      </c>
      <c r="M47" s="2" t="str">
        <f t="shared" si="1"/>
        <v>Lama</v>
      </c>
      <c r="N47" s="8">
        <f t="shared" si="2"/>
        <v>43510000</v>
      </c>
      <c r="O47" s="5">
        <f t="shared" si="3"/>
        <v>0</v>
      </c>
      <c r="P47" s="8">
        <f t="shared" si="4"/>
        <v>43510000</v>
      </c>
      <c r="Q47" s="8">
        <f>P47-VLOOKUP(MID(A47,5,1),Referensi!$A$1:$C$6,3,FALSE)</f>
        <v>43510000</v>
      </c>
      <c r="R47" s="8">
        <f t="shared" si="5"/>
        <v>19000000</v>
      </c>
    </row>
    <row r="48" spans="1:18" x14ac:dyDescent="0.2">
      <c r="A48" t="s">
        <v>104</v>
      </c>
      <c r="B48" s="1">
        <v>45325</v>
      </c>
      <c r="C48" s="2" t="s">
        <v>18</v>
      </c>
      <c r="D48" s="2" t="s">
        <v>31</v>
      </c>
      <c r="E48" s="7" t="s">
        <v>331</v>
      </c>
      <c r="F48" s="2" t="s">
        <v>14</v>
      </c>
      <c r="G48" s="2" t="s">
        <v>39</v>
      </c>
      <c r="H48" s="2">
        <v>9</v>
      </c>
      <c r="I48" s="3">
        <v>1190000</v>
      </c>
      <c r="J48" s="3">
        <v>630000</v>
      </c>
      <c r="K48" s="3" t="str">
        <f t="shared" si="0"/>
        <v>Gilang Ramadhan</v>
      </c>
      <c r="L48" s="2" t="str">
        <f>VLOOKUP(MID(A48,5,1),Referensi!$A$1:$C$6,2,FALSE)</f>
        <v>Tunai</v>
      </c>
      <c r="M48" s="2" t="str">
        <f t="shared" si="1"/>
        <v>Lama</v>
      </c>
      <c r="N48" s="8">
        <f t="shared" si="2"/>
        <v>10710000</v>
      </c>
      <c r="O48" s="5">
        <f t="shared" si="3"/>
        <v>0</v>
      </c>
      <c r="P48" s="8">
        <f t="shared" si="4"/>
        <v>10710000</v>
      </c>
      <c r="Q48" s="8">
        <f>P48-VLOOKUP(MID(A48,5,1),Referensi!$A$1:$C$6,3,FALSE)</f>
        <v>10710000</v>
      </c>
      <c r="R48" s="8">
        <f t="shared" si="5"/>
        <v>5040000</v>
      </c>
    </row>
    <row r="49" spans="1:18" x14ac:dyDescent="0.2">
      <c r="A49" t="s">
        <v>105</v>
      </c>
      <c r="B49" s="1">
        <v>45327</v>
      </c>
      <c r="C49" s="2" t="s">
        <v>12</v>
      </c>
      <c r="D49" s="2" t="s">
        <v>33</v>
      </c>
      <c r="E49" s="7" t="s">
        <v>332</v>
      </c>
      <c r="F49" s="2" t="s">
        <v>16</v>
      </c>
      <c r="G49" s="2" t="s">
        <v>24</v>
      </c>
      <c r="H49" s="2">
        <v>39</v>
      </c>
      <c r="I49" s="3">
        <v>370000</v>
      </c>
      <c r="J49" s="3">
        <v>195000</v>
      </c>
      <c r="K49" s="3" t="str">
        <f t="shared" si="0"/>
        <v>Hesti Wulandari</v>
      </c>
      <c r="L49" s="2" t="str">
        <f>VLOOKUP(MID(A49,5,1),Referensi!$A$1:$C$6,2,FALSE)</f>
        <v>Tunai</v>
      </c>
      <c r="M49" s="2" t="str">
        <f t="shared" si="1"/>
        <v>Baru</v>
      </c>
      <c r="N49" s="8">
        <f t="shared" si="2"/>
        <v>14430000</v>
      </c>
      <c r="O49" s="5">
        <f t="shared" si="3"/>
        <v>0</v>
      </c>
      <c r="P49" s="8">
        <f t="shared" si="4"/>
        <v>14430000</v>
      </c>
      <c r="Q49" s="8">
        <f>P49-VLOOKUP(MID(A49,5,1),Referensi!$A$1:$C$6,3,FALSE)</f>
        <v>14430000</v>
      </c>
      <c r="R49" s="8">
        <f t="shared" si="5"/>
        <v>6825000</v>
      </c>
    </row>
    <row r="50" spans="1:18" x14ac:dyDescent="0.2">
      <c r="A50" t="s">
        <v>106</v>
      </c>
      <c r="B50" s="1">
        <v>45329</v>
      </c>
      <c r="C50" s="2" t="s">
        <v>18</v>
      </c>
      <c r="D50" s="2" t="s">
        <v>19</v>
      </c>
      <c r="E50" s="7" t="s">
        <v>333</v>
      </c>
      <c r="F50" s="2" t="s">
        <v>27</v>
      </c>
      <c r="G50" s="2" t="s">
        <v>28</v>
      </c>
      <c r="H50" s="2">
        <v>40</v>
      </c>
      <c r="I50" s="3">
        <v>295000</v>
      </c>
      <c r="J50" s="3">
        <v>138000</v>
      </c>
      <c r="K50" s="3" t="str">
        <f t="shared" si="0"/>
        <v>Dewi Lestari</v>
      </c>
      <c r="L50" s="2" t="str">
        <f>VLOOKUP(MID(A50,5,1),Referensi!$A$1:$C$6,2,FALSE)</f>
        <v>QRIS</v>
      </c>
      <c r="M50" s="2" t="str">
        <f t="shared" si="1"/>
        <v>Lama</v>
      </c>
      <c r="N50" s="8">
        <f t="shared" si="2"/>
        <v>11800000</v>
      </c>
      <c r="O50" s="5">
        <f t="shared" si="3"/>
        <v>0</v>
      </c>
      <c r="P50" s="8">
        <f t="shared" si="4"/>
        <v>11800000</v>
      </c>
      <c r="Q50" s="8">
        <f>P50-VLOOKUP(MID(A50,5,1),Referensi!$A$1:$C$6,3,FALSE)</f>
        <v>11799000</v>
      </c>
      <c r="R50" s="8">
        <f t="shared" si="5"/>
        <v>6279000</v>
      </c>
    </row>
    <row r="51" spans="1:18" x14ac:dyDescent="0.2">
      <c r="A51" t="s">
        <v>107</v>
      </c>
      <c r="B51" s="1">
        <v>45329</v>
      </c>
      <c r="C51" s="2" t="s">
        <v>22</v>
      </c>
      <c r="D51" s="2" t="s">
        <v>23</v>
      </c>
      <c r="E51" s="7" t="s">
        <v>334</v>
      </c>
      <c r="F51" s="2" t="s">
        <v>27</v>
      </c>
      <c r="G51" s="2" t="s">
        <v>28</v>
      </c>
      <c r="H51" s="2">
        <v>9</v>
      </c>
      <c r="I51" s="3">
        <v>295000</v>
      </c>
      <c r="J51" s="3">
        <v>138000</v>
      </c>
      <c r="K51" s="3" t="str">
        <f t="shared" si="0"/>
        <v>Eko Prasetyo</v>
      </c>
      <c r="L51" s="2" t="str">
        <f>VLOOKUP(MID(A51,5,1),Referensi!$A$1:$C$6,2,FALSE)</f>
        <v>QRIS</v>
      </c>
      <c r="M51" s="2" t="str">
        <f t="shared" si="1"/>
        <v>Lama</v>
      </c>
      <c r="N51" s="8">
        <f t="shared" si="2"/>
        <v>2655000</v>
      </c>
      <c r="O51" s="5">
        <f t="shared" si="3"/>
        <v>0</v>
      </c>
      <c r="P51" s="8">
        <f t="shared" si="4"/>
        <v>2655000</v>
      </c>
      <c r="Q51" s="8">
        <f>P51-VLOOKUP(MID(A51,5,1),Referensi!$A$1:$C$6,3,FALSE)</f>
        <v>2654000</v>
      </c>
      <c r="R51" s="8">
        <f t="shared" si="5"/>
        <v>1412000</v>
      </c>
    </row>
    <row r="52" spans="1:18" x14ac:dyDescent="0.2">
      <c r="A52" t="s">
        <v>108</v>
      </c>
      <c r="B52" s="1">
        <v>45330</v>
      </c>
      <c r="C52" s="2" t="s">
        <v>22</v>
      </c>
      <c r="D52" s="2" t="s">
        <v>29</v>
      </c>
      <c r="E52" s="7" t="s">
        <v>335</v>
      </c>
      <c r="F52" s="2" t="s">
        <v>20</v>
      </c>
      <c r="G52" s="2" t="s">
        <v>45</v>
      </c>
      <c r="H52" s="2">
        <v>8</v>
      </c>
      <c r="I52" s="3">
        <v>36000</v>
      </c>
      <c r="J52" s="3">
        <v>13000</v>
      </c>
      <c r="K52" s="3" t="str">
        <f t="shared" si="0"/>
        <v>Budi Santoso</v>
      </c>
      <c r="L52" s="2" t="str">
        <f>VLOOKUP(MID(A52,5,1),Referensi!$A$1:$C$6,2,FALSE)</f>
        <v>Tunai</v>
      </c>
      <c r="M52" s="2" t="str">
        <f t="shared" si="1"/>
        <v>Lama</v>
      </c>
      <c r="N52" s="8">
        <f t="shared" si="2"/>
        <v>288000</v>
      </c>
      <c r="O52" s="5">
        <f t="shared" si="3"/>
        <v>0</v>
      </c>
      <c r="P52" s="8">
        <f t="shared" si="4"/>
        <v>288000</v>
      </c>
      <c r="Q52" s="8">
        <f>P52-VLOOKUP(MID(A52,5,1),Referensi!$A$1:$C$6,3,FALSE)</f>
        <v>288000</v>
      </c>
      <c r="R52" s="8">
        <f t="shared" si="5"/>
        <v>184000</v>
      </c>
    </row>
    <row r="53" spans="1:18" x14ac:dyDescent="0.2">
      <c r="A53" t="s">
        <v>109</v>
      </c>
      <c r="B53" s="1">
        <v>45332</v>
      </c>
      <c r="C53" s="2" t="s">
        <v>25</v>
      </c>
      <c r="D53" s="2" t="s">
        <v>26</v>
      </c>
      <c r="E53" s="7" t="s">
        <v>336</v>
      </c>
      <c r="F53" s="2" t="s">
        <v>16</v>
      </c>
      <c r="G53" s="2" t="s">
        <v>24</v>
      </c>
      <c r="H53" s="2">
        <v>14</v>
      </c>
      <c r="I53" s="3">
        <v>370000</v>
      </c>
      <c r="J53" s="3">
        <v>195000</v>
      </c>
      <c r="K53" s="3" t="str">
        <f t="shared" si="0"/>
        <v>Eko Prasetyo</v>
      </c>
      <c r="L53" s="2" t="str">
        <f>VLOOKUP(MID(A53,5,1),Referensi!$A$1:$C$6,2,FALSE)</f>
        <v>Transfer Bank</v>
      </c>
      <c r="M53" s="2" t="str">
        <f t="shared" si="1"/>
        <v>Baru</v>
      </c>
      <c r="N53" s="8">
        <f t="shared" si="2"/>
        <v>5180000</v>
      </c>
      <c r="O53" s="5">
        <f t="shared" si="3"/>
        <v>0</v>
      </c>
      <c r="P53" s="8">
        <f t="shared" si="4"/>
        <v>5180000</v>
      </c>
      <c r="Q53" s="8">
        <f>P53-VLOOKUP(MID(A53,5,1),Referensi!$A$1:$C$6,3,FALSE)</f>
        <v>5177500</v>
      </c>
      <c r="R53" s="8">
        <f t="shared" si="5"/>
        <v>2447500</v>
      </c>
    </row>
    <row r="54" spans="1:18" x14ac:dyDescent="0.2">
      <c r="A54" t="s">
        <v>110</v>
      </c>
      <c r="B54" s="1">
        <v>45332</v>
      </c>
      <c r="C54" s="2" t="s">
        <v>25</v>
      </c>
      <c r="D54" s="2" t="s">
        <v>26</v>
      </c>
      <c r="E54" s="7" t="s">
        <v>337</v>
      </c>
      <c r="F54" s="2" t="s">
        <v>27</v>
      </c>
      <c r="G54" s="2" t="s">
        <v>30</v>
      </c>
      <c r="H54" s="2">
        <v>14</v>
      </c>
      <c r="I54" s="3">
        <v>110000</v>
      </c>
      <c r="J54" s="3">
        <v>46000</v>
      </c>
      <c r="K54" s="3" t="str">
        <f t="shared" si="0"/>
        <v>Hesti Wulandari</v>
      </c>
      <c r="L54" s="2" t="str">
        <f>VLOOKUP(MID(A54,5,1),Referensi!$A$1:$C$6,2,FALSE)</f>
        <v>Kartu Kredit</v>
      </c>
      <c r="M54" s="2" t="str">
        <f t="shared" si="1"/>
        <v>Lama</v>
      </c>
      <c r="N54" s="8">
        <f t="shared" si="2"/>
        <v>1540000</v>
      </c>
      <c r="O54" s="5">
        <f t="shared" si="3"/>
        <v>0</v>
      </c>
      <c r="P54" s="8">
        <f t="shared" si="4"/>
        <v>1540000</v>
      </c>
      <c r="Q54" s="8">
        <f>P54-VLOOKUP(MID(A54,5,1),Referensi!$A$1:$C$6,3,FALSE)</f>
        <v>1530000</v>
      </c>
      <c r="R54" s="8">
        <f t="shared" si="5"/>
        <v>886000</v>
      </c>
    </row>
    <row r="55" spans="1:18" x14ac:dyDescent="0.2">
      <c r="A55" t="s">
        <v>111</v>
      </c>
      <c r="B55" s="1">
        <v>45333</v>
      </c>
      <c r="C55" s="2" t="s">
        <v>12</v>
      </c>
      <c r="D55" s="2" t="s">
        <v>33</v>
      </c>
      <c r="E55" s="7" t="s">
        <v>338</v>
      </c>
      <c r="F55" s="2" t="s">
        <v>20</v>
      </c>
      <c r="G55" s="2" t="s">
        <v>21</v>
      </c>
      <c r="H55" s="2">
        <v>5</v>
      </c>
      <c r="I55" s="3">
        <v>145000</v>
      </c>
      <c r="J55" s="3">
        <v>62000</v>
      </c>
      <c r="K55" s="3" t="str">
        <f t="shared" si="0"/>
        <v>Dewi Lestari</v>
      </c>
      <c r="L55" s="2" t="str">
        <f>VLOOKUP(MID(A55,5,1),Referensi!$A$1:$C$6,2,FALSE)</f>
        <v>Tunai</v>
      </c>
      <c r="M55" s="2" t="str">
        <f t="shared" si="1"/>
        <v>Lama</v>
      </c>
      <c r="N55" s="8">
        <f t="shared" si="2"/>
        <v>725000</v>
      </c>
      <c r="O55" s="5">
        <f t="shared" si="3"/>
        <v>0</v>
      </c>
      <c r="P55" s="8">
        <f t="shared" si="4"/>
        <v>725000</v>
      </c>
      <c r="Q55" s="8">
        <f>P55-VLOOKUP(MID(A55,5,1),Referensi!$A$1:$C$6,3,FALSE)</f>
        <v>725000</v>
      </c>
      <c r="R55" s="8">
        <f t="shared" si="5"/>
        <v>415000</v>
      </c>
    </row>
    <row r="56" spans="1:18" x14ac:dyDescent="0.2">
      <c r="A56" t="s">
        <v>112</v>
      </c>
      <c r="B56" s="1">
        <v>45333</v>
      </c>
      <c r="C56" s="2" t="s">
        <v>12</v>
      </c>
      <c r="D56" s="2" t="s">
        <v>13</v>
      </c>
      <c r="E56" s="7" t="s">
        <v>339</v>
      </c>
      <c r="F56" s="2" t="s">
        <v>20</v>
      </c>
      <c r="G56" s="2" t="s">
        <v>41</v>
      </c>
      <c r="H56" s="2">
        <v>37</v>
      </c>
      <c r="I56" s="3">
        <v>75000</v>
      </c>
      <c r="J56" s="3">
        <v>28000</v>
      </c>
      <c r="K56" s="3" t="str">
        <f t="shared" si="0"/>
        <v>Andi Saputra</v>
      </c>
      <c r="L56" s="2" t="str">
        <f>VLOOKUP(MID(A56,5,1),Referensi!$A$1:$C$6,2,FALSE)</f>
        <v>QRIS</v>
      </c>
      <c r="M56" s="2" t="str">
        <f t="shared" si="1"/>
        <v>Lama</v>
      </c>
      <c r="N56" s="8">
        <f t="shared" si="2"/>
        <v>2775000</v>
      </c>
      <c r="O56" s="5">
        <f t="shared" si="3"/>
        <v>0</v>
      </c>
      <c r="P56" s="8">
        <f t="shared" si="4"/>
        <v>2775000</v>
      </c>
      <c r="Q56" s="8">
        <f>P56-VLOOKUP(MID(A56,5,1),Referensi!$A$1:$C$6,3,FALSE)</f>
        <v>2774000</v>
      </c>
      <c r="R56" s="8">
        <f t="shared" si="5"/>
        <v>1738000</v>
      </c>
    </row>
    <row r="57" spans="1:18" x14ac:dyDescent="0.2">
      <c r="A57" t="s">
        <v>113</v>
      </c>
      <c r="B57" s="1">
        <v>45334</v>
      </c>
      <c r="C57" s="2" t="s">
        <v>25</v>
      </c>
      <c r="D57" s="2" t="s">
        <v>37</v>
      </c>
      <c r="E57" s="7" t="s">
        <v>340</v>
      </c>
      <c r="F57" s="2" t="s">
        <v>20</v>
      </c>
      <c r="G57" s="2" t="s">
        <v>21</v>
      </c>
      <c r="H57" s="2">
        <v>30</v>
      </c>
      <c r="I57" s="3">
        <v>145000</v>
      </c>
      <c r="J57" s="3">
        <v>62000</v>
      </c>
      <c r="K57" s="3" t="str">
        <f t="shared" si="0"/>
        <v>Gilang Ramadhan</v>
      </c>
      <c r="L57" s="2" t="str">
        <f>VLOOKUP(MID(A57,5,1),Referensi!$A$1:$C$6,2,FALSE)</f>
        <v>Tunai</v>
      </c>
      <c r="M57" s="2" t="str">
        <f t="shared" si="1"/>
        <v>Lama</v>
      </c>
      <c r="N57" s="8">
        <f t="shared" si="2"/>
        <v>4350000</v>
      </c>
      <c r="O57" s="5">
        <f t="shared" si="3"/>
        <v>0</v>
      </c>
      <c r="P57" s="8">
        <f t="shared" si="4"/>
        <v>4350000</v>
      </c>
      <c r="Q57" s="8">
        <f>P57-VLOOKUP(MID(A57,5,1),Referensi!$A$1:$C$6,3,FALSE)</f>
        <v>4350000</v>
      </c>
      <c r="R57" s="8">
        <f t="shared" si="5"/>
        <v>2490000</v>
      </c>
    </row>
    <row r="58" spans="1:18" x14ac:dyDescent="0.2">
      <c r="A58" t="s">
        <v>114</v>
      </c>
      <c r="B58" s="1">
        <v>45335</v>
      </c>
      <c r="C58" s="2" t="s">
        <v>25</v>
      </c>
      <c r="D58" s="2" t="s">
        <v>26</v>
      </c>
      <c r="E58" s="7" t="s">
        <v>341</v>
      </c>
      <c r="F58" s="2" t="s">
        <v>14</v>
      </c>
      <c r="G58" s="2" t="s">
        <v>35</v>
      </c>
      <c r="H58" s="2">
        <v>7</v>
      </c>
      <c r="I58" s="3">
        <v>1010000</v>
      </c>
      <c r="J58" s="3">
        <v>535000</v>
      </c>
      <c r="K58" s="3" t="str">
        <f t="shared" si="0"/>
        <v>Budi Santoso</v>
      </c>
      <c r="L58" s="2" t="str">
        <f>VLOOKUP(MID(A58,5,1),Referensi!$A$1:$C$6,2,FALSE)</f>
        <v>QRIS</v>
      </c>
      <c r="M58" s="2" t="str">
        <f t="shared" si="1"/>
        <v>Lama</v>
      </c>
      <c r="N58" s="8">
        <f t="shared" si="2"/>
        <v>7070000</v>
      </c>
      <c r="O58" s="5">
        <f t="shared" si="3"/>
        <v>0</v>
      </c>
      <c r="P58" s="8">
        <f t="shared" si="4"/>
        <v>7070000</v>
      </c>
      <c r="Q58" s="8">
        <f>P58-VLOOKUP(MID(A58,5,1),Referensi!$A$1:$C$6,3,FALSE)</f>
        <v>7069000</v>
      </c>
      <c r="R58" s="8">
        <f t="shared" si="5"/>
        <v>3324000</v>
      </c>
    </row>
    <row r="59" spans="1:18" x14ac:dyDescent="0.2">
      <c r="A59" t="s">
        <v>115</v>
      </c>
      <c r="B59" s="1">
        <v>45337</v>
      </c>
      <c r="C59" s="2" t="s">
        <v>25</v>
      </c>
      <c r="D59" s="2" t="s">
        <v>26</v>
      </c>
      <c r="E59" s="7" t="s">
        <v>342</v>
      </c>
      <c r="F59" s="2" t="s">
        <v>14</v>
      </c>
      <c r="G59" s="2" t="s">
        <v>39</v>
      </c>
      <c r="H59" s="2">
        <v>21</v>
      </c>
      <c r="I59" s="3">
        <v>1190000</v>
      </c>
      <c r="J59" s="3">
        <v>630000</v>
      </c>
      <c r="K59" s="3" t="str">
        <f t="shared" si="0"/>
        <v>Hesti Wulandari</v>
      </c>
      <c r="L59" s="2" t="str">
        <f>VLOOKUP(MID(A59,5,1),Referensi!$A$1:$C$6,2,FALSE)</f>
        <v>QRIS</v>
      </c>
      <c r="M59" s="2" t="str">
        <f t="shared" si="1"/>
        <v>Lama</v>
      </c>
      <c r="N59" s="8">
        <f t="shared" si="2"/>
        <v>24990000</v>
      </c>
      <c r="O59" s="5">
        <f t="shared" si="3"/>
        <v>0</v>
      </c>
      <c r="P59" s="8">
        <f t="shared" si="4"/>
        <v>24990000</v>
      </c>
      <c r="Q59" s="8">
        <f>P59-VLOOKUP(MID(A59,5,1),Referensi!$A$1:$C$6,3,FALSE)</f>
        <v>24989000</v>
      </c>
      <c r="R59" s="8">
        <f t="shared" si="5"/>
        <v>11759000</v>
      </c>
    </row>
    <row r="60" spans="1:18" x14ac:dyDescent="0.2">
      <c r="A60" t="s">
        <v>116</v>
      </c>
      <c r="B60" s="1">
        <v>45339</v>
      </c>
      <c r="C60" s="2" t="s">
        <v>25</v>
      </c>
      <c r="D60" s="2" t="s">
        <v>26</v>
      </c>
      <c r="E60" s="7" t="s">
        <v>343</v>
      </c>
      <c r="F60" s="2" t="s">
        <v>20</v>
      </c>
      <c r="G60" s="2" t="s">
        <v>21</v>
      </c>
      <c r="H60" s="2">
        <v>17</v>
      </c>
      <c r="I60" s="3">
        <v>145000</v>
      </c>
      <c r="J60" s="3">
        <v>62000</v>
      </c>
      <c r="K60" s="3" t="str">
        <f t="shared" si="0"/>
        <v>Budi Santoso</v>
      </c>
      <c r="L60" s="2" t="str">
        <f>VLOOKUP(MID(A60,5,1),Referensi!$A$1:$C$6,2,FALSE)</f>
        <v>Tunai</v>
      </c>
      <c r="M60" s="2" t="str">
        <f t="shared" si="1"/>
        <v>Lama</v>
      </c>
      <c r="N60" s="8">
        <f t="shared" si="2"/>
        <v>2465000</v>
      </c>
      <c r="O60" s="5">
        <f t="shared" si="3"/>
        <v>0</v>
      </c>
      <c r="P60" s="8">
        <f t="shared" si="4"/>
        <v>2465000</v>
      </c>
      <c r="Q60" s="8">
        <f>P60-VLOOKUP(MID(A60,5,1),Referensi!$A$1:$C$6,3,FALSE)</f>
        <v>2465000</v>
      </c>
      <c r="R60" s="8">
        <f t="shared" si="5"/>
        <v>1411000</v>
      </c>
    </row>
    <row r="61" spans="1:18" x14ac:dyDescent="0.2">
      <c r="A61" t="s">
        <v>117</v>
      </c>
      <c r="B61" s="1">
        <v>45340</v>
      </c>
      <c r="C61" s="2" t="s">
        <v>22</v>
      </c>
      <c r="D61" s="2" t="s">
        <v>23</v>
      </c>
      <c r="E61" s="7" t="s">
        <v>344</v>
      </c>
      <c r="F61" s="2" t="s">
        <v>14</v>
      </c>
      <c r="G61" s="2" t="s">
        <v>35</v>
      </c>
      <c r="H61" s="2">
        <v>22</v>
      </c>
      <c r="I61" s="3">
        <v>1010000</v>
      </c>
      <c r="J61" s="3">
        <v>535000</v>
      </c>
      <c r="K61" s="3" t="str">
        <f t="shared" si="0"/>
        <v>Eko Prasetyo</v>
      </c>
      <c r="L61" s="2" t="str">
        <f>VLOOKUP(MID(A61,5,1),Referensi!$A$1:$C$6,2,FALSE)</f>
        <v>Transfer Bank</v>
      </c>
      <c r="M61" s="2" t="str">
        <f t="shared" si="1"/>
        <v>Lama</v>
      </c>
      <c r="N61" s="8">
        <f t="shared" si="2"/>
        <v>22220000</v>
      </c>
      <c r="O61" s="5">
        <f t="shared" si="3"/>
        <v>0</v>
      </c>
      <c r="P61" s="8">
        <f t="shared" si="4"/>
        <v>22220000</v>
      </c>
      <c r="Q61" s="8">
        <f>P61-VLOOKUP(MID(A61,5,1),Referensi!$A$1:$C$6,3,FALSE)</f>
        <v>22217500</v>
      </c>
      <c r="R61" s="8">
        <f t="shared" si="5"/>
        <v>10447500</v>
      </c>
    </row>
    <row r="62" spans="1:18" x14ac:dyDescent="0.2">
      <c r="A62" t="s">
        <v>118</v>
      </c>
      <c r="B62" s="1">
        <v>45343</v>
      </c>
      <c r="C62" s="2" t="s">
        <v>22</v>
      </c>
      <c r="D62" s="2" t="s">
        <v>29</v>
      </c>
      <c r="E62" s="7" t="s">
        <v>345</v>
      </c>
      <c r="F62" s="2" t="s">
        <v>27</v>
      </c>
      <c r="G62" s="2" t="s">
        <v>28</v>
      </c>
      <c r="H62" s="2">
        <v>24</v>
      </c>
      <c r="I62" s="3">
        <v>295000</v>
      </c>
      <c r="J62" s="3">
        <v>138000</v>
      </c>
      <c r="K62" s="3" t="str">
        <f t="shared" si="0"/>
        <v>Andi Saputra</v>
      </c>
      <c r="L62" s="2" t="str">
        <f>VLOOKUP(MID(A62,5,1),Referensi!$A$1:$C$6,2,FALSE)</f>
        <v>Tunai</v>
      </c>
      <c r="M62" s="2" t="str">
        <f t="shared" si="1"/>
        <v>Lama</v>
      </c>
      <c r="N62" s="8">
        <f t="shared" si="2"/>
        <v>7080000</v>
      </c>
      <c r="O62" s="5">
        <f t="shared" si="3"/>
        <v>0</v>
      </c>
      <c r="P62" s="8">
        <f t="shared" si="4"/>
        <v>7080000</v>
      </c>
      <c r="Q62" s="8">
        <f>P62-VLOOKUP(MID(A62,5,1),Referensi!$A$1:$C$6,3,FALSE)</f>
        <v>7080000</v>
      </c>
      <c r="R62" s="8">
        <f t="shared" si="5"/>
        <v>3768000</v>
      </c>
    </row>
    <row r="63" spans="1:18" x14ac:dyDescent="0.2">
      <c r="A63" t="s">
        <v>119</v>
      </c>
      <c r="B63" s="1">
        <v>45344</v>
      </c>
      <c r="C63" s="2" t="s">
        <v>12</v>
      </c>
      <c r="D63" s="2" t="s">
        <v>13</v>
      </c>
      <c r="E63" s="7" t="s">
        <v>346</v>
      </c>
      <c r="F63" s="2" t="s">
        <v>14</v>
      </c>
      <c r="G63" s="2" t="s">
        <v>34</v>
      </c>
      <c r="H63" s="2">
        <v>9</v>
      </c>
      <c r="I63" s="3">
        <v>820000</v>
      </c>
      <c r="J63" s="3">
        <v>415000</v>
      </c>
      <c r="K63" s="3" t="str">
        <f t="shared" si="0"/>
        <v>Eko Prasetyo</v>
      </c>
      <c r="L63" s="2" t="str">
        <f>VLOOKUP(MID(A63,5,1),Referensi!$A$1:$C$6,2,FALSE)</f>
        <v>QRIS</v>
      </c>
      <c r="M63" s="2" t="str">
        <f t="shared" si="1"/>
        <v>Lama</v>
      </c>
      <c r="N63" s="8">
        <f t="shared" si="2"/>
        <v>7380000</v>
      </c>
      <c r="O63" s="5">
        <f t="shared" si="3"/>
        <v>0</v>
      </c>
      <c r="P63" s="8">
        <f t="shared" si="4"/>
        <v>7380000</v>
      </c>
      <c r="Q63" s="8">
        <f>P63-VLOOKUP(MID(A63,5,1),Referensi!$A$1:$C$6,3,FALSE)</f>
        <v>7379000</v>
      </c>
      <c r="R63" s="8">
        <f t="shared" si="5"/>
        <v>3644000</v>
      </c>
    </row>
    <row r="64" spans="1:18" x14ac:dyDescent="0.2">
      <c r="A64" t="s">
        <v>120</v>
      </c>
      <c r="B64" s="1">
        <v>45346</v>
      </c>
      <c r="C64" s="2" t="s">
        <v>22</v>
      </c>
      <c r="D64" s="2" t="s">
        <v>29</v>
      </c>
      <c r="E64" s="7" t="s">
        <v>347</v>
      </c>
      <c r="F64" s="2" t="s">
        <v>27</v>
      </c>
      <c r="G64" s="2" t="s">
        <v>28</v>
      </c>
      <c r="H64" s="2">
        <v>27</v>
      </c>
      <c r="I64" s="3">
        <v>295000</v>
      </c>
      <c r="J64" s="3">
        <v>138000</v>
      </c>
      <c r="K64" s="3" t="str">
        <f t="shared" si="0"/>
        <v>Dewi Lestari</v>
      </c>
      <c r="L64" s="2" t="str">
        <f>VLOOKUP(MID(A64,5,1),Referensi!$A$1:$C$6,2,FALSE)</f>
        <v>QRIS</v>
      </c>
      <c r="M64" s="2" t="str">
        <f t="shared" si="1"/>
        <v>Baru</v>
      </c>
      <c r="N64" s="8">
        <f t="shared" si="2"/>
        <v>7965000</v>
      </c>
      <c r="O64" s="5">
        <f t="shared" si="3"/>
        <v>0</v>
      </c>
      <c r="P64" s="8">
        <f t="shared" si="4"/>
        <v>7965000</v>
      </c>
      <c r="Q64" s="8">
        <f>P64-VLOOKUP(MID(A64,5,1),Referensi!$A$1:$C$6,3,FALSE)</f>
        <v>7964000</v>
      </c>
      <c r="R64" s="8">
        <f t="shared" si="5"/>
        <v>4238000</v>
      </c>
    </row>
    <row r="65" spans="1:18" x14ac:dyDescent="0.2">
      <c r="A65" t="s">
        <v>121</v>
      </c>
      <c r="B65" s="1">
        <v>45348</v>
      </c>
      <c r="C65" s="2" t="s">
        <v>22</v>
      </c>
      <c r="D65" s="2" t="s">
        <v>29</v>
      </c>
      <c r="E65" s="7" t="s">
        <v>348</v>
      </c>
      <c r="F65" s="2" t="s">
        <v>20</v>
      </c>
      <c r="G65" s="2" t="s">
        <v>41</v>
      </c>
      <c r="H65" s="2">
        <v>15</v>
      </c>
      <c r="I65" s="3">
        <v>75000</v>
      </c>
      <c r="J65" s="3">
        <v>28000</v>
      </c>
      <c r="K65" s="3" t="str">
        <f t="shared" si="0"/>
        <v>Fitri Handayani</v>
      </c>
      <c r="L65" s="2" t="str">
        <f>VLOOKUP(MID(A65,5,1),Referensi!$A$1:$C$6,2,FALSE)</f>
        <v>Kartu Debit</v>
      </c>
      <c r="M65" s="2" t="str">
        <f t="shared" si="1"/>
        <v>Baru</v>
      </c>
      <c r="N65" s="8">
        <f t="shared" si="2"/>
        <v>1125000</v>
      </c>
      <c r="O65" s="5">
        <f t="shared" si="3"/>
        <v>0</v>
      </c>
      <c r="P65" s="8">
        <f t="shared" si="4"/>
        <v>1125000</v>
      </c>
      <c r="Q65" s="8">
        <f>P65-VLOOKUP(MID(A65,5,1),Referensi!$A$1:$C$6,3,FALSE)</f>
        <v>1118500</v>
      </c>
      <c r="R65" s="8">
        <f t="shared" si="5"/>
        <v>698500</v>
      </c>
    </row>
    <row r="66" spans="1:18" x14ac:dyDescent="0.2">
      <c r="A66" t="s">
        <v>122</v>
      </c>
      <c r="B66" s="1">
        <v>45349</v>
      </c>
      <c r="C66" s="2" t="s">
        <v>18</v>
      </c>
      <c r="D66" s="2" t="s">
        <v>31</v>
      </c>
      <c r="E66" s="7" t="s">
        <v>349</v>
      </c>
      <c r="F66" s="2" t="s">
        <v>20</v>
      </c>
      <c r="G66" s="2" t="s">
        <v>45</v>
      </c>
      <c r="H66" s="2">
        <v>38</v>
      </c>
      <c r="I66" s="3">
        <v>36000</v>
      </c>
      <c r="J66" s="3">
        <v>13000</v>
      </c>
      <c r="K66" s="3" t="str">
        <f t="shared" si="0"/>
        <v>Andi Saputra</v>
      </c>
      <c r="L66" s="2" t="str">
        <f>VLOOKUP(MID(A66,5,1),Referensi!$A$1:$C$6,2,FALSE)</f>
        <v>Transfer Bank</v>
      </c>
      <c r="M66" s="2" t="str">
        <f t="shared" si="1"/>
        <v>Baru</v>
      </c>
      <c r="N66" s="8">
        <f t="shared" si="2"/>
        <v>1368000</v>
      </c>
      <c r="O66" s="5">
        <f t="shared" si="3"/>
        <v>0</v>
      </c>
      <c r="P66" s="8">
        <f t="shared" si="4"/>
        <v>1368000</v>
      </c>
      <c r="Q66" s="8">
        <f>P66-VLOOKUP(MID(A66,5,1),Referensi!$A$1:$C$6,3,FALSE)</f>
        <v>1365500</v>
      </c>
      <c r="R66" s="8">
        <f t="shared" si="5"/>
        <v>871500</v>
      </c>
    </row>
    <row r="67" spans="1:18" x14ac:dyDescent="0.2">
      <c r="A67" t="s">
        <v>123</v>
      </c>
      <c r="B67" s="1">
        <v>45349</v>
      </c>
      <c r="C67" s="2" t="s">
        <v>18</v>
      </c>
      <c r="D67" s="2" t="s">
        <v>31</v>
      </c>
      <c r="E67" s="7" t="s">
        <v>350</v>
      </c>
      <c r="F67" s="2" t="s">
        <v>16</v>
      </c>
      <c r="G67" s="2" t="s">
        <v>36</v>
      </c>
      <c r="H67" s="2">
        <v>18</v>
      </c>
      <c r="I67" s="3">
        <v>280000</v>
      </c>
      <c r="J67" s="3">
        <v>130000</v>
      </c>
      <c r="K67" s="3" t="str">
        <f t="shared" ref="K67:K130" si="6">PROPER(E67)</f>
        <v>Fitri Handayani</v>
      </c>
      <c r="L67" s="2" t="str">
        <f>VLOOKUP(MID(A67,5,1),Referensi!$A$1:$C$6,2,FALSE)</f>
        <v>QRIS</v>
      </c>
      <c r="M67" s="2" t="str">
        <f t="shared" ref="M67:M130" si="7">IF(MID(A67,7,2)="BR","Baru","Lama")</f>
        <v>Baru</v>
      </c>
      <c r="N67" s="8">
        <f t="shared" ref="N67:N130" si="8">I67*H67</f>
        <v>5040000</v>
      </c>
      <c r="O67" s="5">
        <f t="shared" ref="O67:O130" si="9">IF(AND(M67="BARU",N67&gt;50000000),20%,IF(AND(M67="LAMA",N67&gt;50000000),15%,IF(AND(M67="BARU",N67&gt;20000000),10%,0%)))</f>
        <v>0</v>
      </c>
      <c r="P67" s="8">
        <f t="shared" ref="P67:P130" si="10">N67-O67*N67</f>
        <v>5040000</v>
      </c>
      <c r="Q67" s="8">
        <f>P67-VLOOKUP(MID(A67,5,1),Referensi!$A$1:$C$6,3,FALSE)</f>
        <v>5039000</v>
      </c>
      <c r="R67" s="8">
        <f t="shared" ref="R67:R130" si="11">Q67-(H67*J67)</f>
        <v>2699000</v>
      </c>
    </row>
    <row r="68" spans="1:18" x14ac:dyDescent="0.2">
      <c r="A68" t="s">
        <v>124</v>
      </c>
      <c r="B68" s="1">
        <v>45350</v>
      </c>
      <c r="C68" s="2" t="s">
        <v>18</v>
      </c>
      <c r="D68" s="2" t="s">
        <v>31</v>
      </c>
      <c r="E68" s="7" t="s">
        <v>351</v>
      </c>
      <c r="F68" s="2" t="s">
        <v>20</v>
      </c>
      <c r="G68" s="2" t="s">
        <v>21</v>
      </c>
      <c r="H68" s="2">
        <v>5</v>
      </c>
      <c r="I68" s="3">
        <v>145000</v>
      </c>
      <c r="J68" s="3">
        <v>62000</v>
      </c>
      <c r="K68" s="3" t="str">
        <f t="shared" si="6"/>
        <v>Gilang Ramadhan</v>
      </c>
      <c r="L68" s="2" t="str">
        <f>VLOOKUP(MID(A68,5,1),Referensi!$A$1:$C$6,2,FALSE)</f>
        <v>Tunai</v>
      </c>
      <c r="M68" s="2" t="str">
        <f t="shared" si="7"/>
        <v>Lama</v>
      </c>
      <c r="N68" s="8">
        <f t="shared" si="8"/>
        <v>725000</v>
      </c>
      <c r="O68" s="5">
        <f t="shared" si="9"/>
        <v>0</v>
      </c>
      <c r="P68" s="8">
        <f t="shared" si="10"/>
        <v>725000</v>
      </c>
      <c r="Q68" s="8">
        <f>P68-VLOOKUP(MID(A68,5,1),Referensi!$A$1:$C$6,3,FALSE)</f>
        <v>725000</v>
      </c>
      <c r="R68" s="8">
        <f t="shared" si="11"/>
        <v>415000</v>
      </c>
    </row>
    <row r="69" spans="1:18" x14ac:dyDescent="0.2">
      <c r="A69" t="s">
        <v>125</v>
      </c>
      <c r="B69" s="1">
        <v>45350</v>
      </c>
      <c r="C69" s="2" t="s">
        <v>18</v>
      </c>
      <c r="D69" s="2" t="s">
        <v>19</v>
      </c>
      <c r="E69" s="7" t="s">
        <v>352</v>
      </c>
      <c r="F69" s="2" t="s">
        <v>16</v>
      </c>
      <c r="G69" s="2" t="s">
        <v>32</v>
      </c>
      <c r="H69" s="2">
        <v>33</v>
      </c>
      <c r="I69" s="3">
        <v>420000</v>
      </c>
      <c r="J69" s="3">
        <v>225000</v>
      </c>
      <c r="K69" s="3" t="str">
        <f t="shared" si="6"/>
        <v>Fitri Handayani</v>
      </c>
      <c r="L69" s="2" t="str">
        <f>VLOOKUP(MID(A69,5,1),Referensi!$A$1:$C$6,2,FALSE)</f>
        <v>QRIS</v>
      </c>
      <c r="M69" s="2" t="str">
        <f t="shared" si="7"/>
        <v>Baru</v>
      </c>
      <c r="N69" s="8">
        <f t="shared" si="8"/>
        <v>13860000</v>
      </c>
      <c r="O69" s="5">
        <f t="shared" si="9"/>
        <v>0</v>
      </c>
      <c r="P69" s="8">
        <f t="shared" si="10"/>
        <v>13860000</v>
      </c>
      <c r="Q69" s="8">
        <f>P69-VLOOKUP(MID(A69,5,1),Referensi!$A$1:$C$6,3,FALSE)</f>
        <v>13859000</v>
      </c>
      <c r="R69" s="8">
        <f t="shared" si="11"/>
        <v>6434000</v>
      </c>
    </row>
    <row r="70" spans="1:18" x14ac:dyDescent="0.2">
      <c r="A70" t="s">
        <v>126</v>
      </c>
      <c r="B70" s="1">
        <v>45350</v>
      </c>
      <c r="C70" s="2" t="s">
        <v>18</v>
      </c>
      <c r="D70" s="2" t="s">
        <v>31</v>
      </c>
      <c r="E70" s="7" t="s">
        <v>353</v>
      </c>
      <c r="F70" s="2" t="s">
        <v>16</v>
      </c>
      <c r="G70" s="2" t="s">
        <v>36</v>
      </c>
      <c r="H70" s="2">
        <v>29</v>
      </c>
      <c r="I70" s="3">
        <v>280000</v>
      </c>
      <c r="J70" s="3">
        <v>130000</v>
      </c>
      <c r="K70" s="3" t="str">
        <f t="shared" si="6"/>
        <v>Budi Santoso</v>
      </c>
      <c r="L70" s="2" t="str">
        <f>VLOOKUP(MID(A70,5,1),Referensi!$A$1:$C$6,2,FALSE)</f>
        <v>Transfer Bank</v>
      </c>
      <c r="M70" s="2" t="str">
        <f t="shared" si="7"/>
        <v>Lama</v>
      </c>
      <c r="N70" s="8">
        <f t="shared" si="8"/>
        <v>8120000</v>
      </c>
      <c r="O70" s="5">
        <f t="shared" si="9"/>
        <v>0</v>
      </c>
      <c r="P70" s="8">
        <f t="shared" si="10"/>
        <v>8120000</v>
      </c>
      <c r="Q70" s="8">
        <f>P70-VLOOKUP(MID(A70,5,1),Referensi!$A$1:$C$6,3,FALSE)</f>
        <v>8117500</v>
      </c>
      <c r="R70" s="8">
        <f t="shared" si="11"/>
        <v>4347500</v>
      </c>
    </row>
    <row r="71" spans="1:18" x14ac:dyDescent="0.2">
      <c r="A71" t="s">
        <v>127</v>
      </c>
      <c r="B71" s="1">
        <v>45352</v>
      </c>
      <c r="C71" s="2" t="s">
        <v>22</v>
      </c>
      <c r="D71" s="2" t="s">
        <v>29</v>
      </c>
      <c r="E71" s="7" t="s">
        <v>354</v>
      </c>
      <c r="F71" s="2" t="s">
        <v>27</v>
      </c>
      <c r="G71" s="2" t="s">
        <v>28</v>
      </c>
      <c r="H71" s="2">
        <v>14</v>
      </c>
      <c r="I71" s="3">
        <v>295000</v>
      </c>
      <c r="J71" s="3">
        <v>138000</v>
      </c>
      <c r="K71" s="3" t="str">
        <f t="shared" si="6"/>
        <v>Hesti Wulandari</v>
      </c>
      <c r="L71" s="2" t="str">
        <f>VLOOKUP(MID(A71,5,1),Referensi!$A$1:$C$6,2,FALSE)</f>
        <v>Transfer Bank</v>
      </c>
      <c r="M71" s="2" t="str">
        <f t="shared" si="7"/>
        <v>Lama</v>
      </c>
      <c r="N71" s="8">
        <f t="shared" si="8"/>
        <v>4130000</v>
      </c>
      <c r="O71" s="5">
        <f t="shared" si="9"/>
        <v>0</v>
      </c>
      <c r="P71" s="8">
        <f t="shared" si="10"/>
        <v>4130000</v>
      </c>
      <c r="Q71" s="8">
        <f>P71-VLOOKUP(MID(A71,5,1),Referensi!$A$1:$C$6,3,FALSE)</f>
        <v>4127500</v>
      </c>
      <c r="R71" s="8">
        <f t="shared" si="11"/>
        <v>2195500</v>
      </c>
    </row>
    <row r="72" spans="1:18" x14ac:dyDescent="0.2">
      <c r="A72" t="s">
        <v>128</v>
      </c>
      <c r="B72" s="1">
        <v>45352</v>
      </c>
      <c r="C72" s="2" t="s">
        <v>18</v>
      </c>
      <c r="D72" s="2" t="s">
        <v>19</v>
      </c>
      <c r="E72" s="7" t="s">
        <v>355</v>
      </c>
      <c r="F72" s="2" t="s">
        <v>20</v>
      </c>
      <c r="G72" s="2" t="s">
        <v>38</v>
      </c>
      <c r="H72" s="2">
        <v>12</v>
      </c>
      <c r="I72" s="3">
        <v>48000</v>
      </c>
      <c r="J72" s="3">
        <v>19000</v>
      </c>
      <c r="K72" s="3" t="str">
        <f t="shared" si="6"/>
        <v>Eko Prasetyo</v>
      </c>
      <c r="L72" s="2" t="str">
        <f>VLOOKUP(MID(A72,5,1),Referensi!$A$1:$C$6,2,FALSE)</f>
        <v>Transfer Bank</v>
      </c>
      <c r="M72" s="2" t="str">
        <f t="shared" si="7"/>
        <v>Baru</v>
      </c>
      <c r="N72" s="8">
        <f t="shared" si="8"/>
        <v>576000</v>
      </c>
      <c r="O72" s="5">
        <f t="shared" si="9"/>
        <v>0</v>
      </c>
      <c r="P72" s="8">
        <f t="shared" si="10"/>
        <v>576000</v>
      </c>
      <c r="Q72" s="8">
        <f>P72-VLOOKUP(MID(A72,5,1),Referensi!$A$1:$C$6,3,FALSE)</f>
        <v>573500</v>
      </c>
      <c r="R72" s="8">
        <f t="shared" si="11"/>
        <v>345500</v>
      </c>
    </row>
    <row r="73" spans="1:18" x14ac:dyDescent="0.2">
      <c r="A73" t="s">
        <v>129</v>
      </c>
      <c r="B73" s="1">
        <v>45352</v>
      </c>
      <c r="C73" s="2" t="s">
        <v>25</v>
      </c>
      <c r="D73" s="2" t="s">
        <v>37</v>
      </c>
      <c r="E73" s="7" t="s">
        <v>356</v>
      </c>
      <c r="F73" s="2" t="s">
        <v>20</v>
      </c>
      <c r="G73" s="2" t="s">
        <v>45</v>
      </c>
      <c r="H73" s="2">
        <v>2</v>
      </c>
      <c r="I73" s="3">
        <v>36000</v>
      </c>
      <c r="J73" s="3">
        <v>13000</v>
      </c>
      <c r="K73" s="3" t="str">
        <f t="shared" si="6"/>
        <v>Fitri Handayani</v>
      </c>
      <c r="L73" s="2" t="str">
        <f>VLOOKUP(MID(A73,5,1),Referensi!$A$1:$C$6,2,FALSE)</f>
        <v>Kartu Kredit</v>
      </c>
      <c r="M73" s="2" t="str">
        <f t="shared" si="7"/>
        <v>Lama</v>
      </c>
      <c r="N73" s="8">
        <f t="shared" si="8"/>
        <v>72000</v>
      </c>
      <c r="O73" s="5">
        <f t="shared" si="9"/>
        <v>0</v>
      </c>
      <c r="P73" s="8">
        <f t="shared" si="10"/>
        <v>72000</v>
      </c>
      <c r="Q73" s="8">
        <f>P73-VLOOKUP(MID(A73,5,1),Referensi!$A$1:$C$6,3,FALSE)</f>
        <v>62000</v>
      </c>
      <c r="R73" s="8">
        <f t="shared" si="11"/>
        <v>36000</v>
      </c>
    </row>
    <row r="74" spans="1:18" x14ac:dyDescent="0.2">
      <c r="A74" t="s">
        <v>130</v>
      </c>
      <c r="B74" s="1">
        <v>45353</v>
      </c>
      <c r="C74" s="2" t="s">
        <v>25</v>
      </c>
      <c r="D74" s="2" t="s">
        <v>26</v>
      </c>
      <c r="E74" s="7" t="s">
        <v>357</v>
      </c>
      <c r="F74" s="2" t="s">
        <v>16</v>
      </c>
      <c r="G74" s="2" t="s">
        <v>17</v>
      </c>
      <c r="H74" s="2">
        <v>6</v>
      </c>
      <c r="I74" s="3">
        <v>150000</v>
      </c>
      <c r="J74" s="3">
        <v>75000</v>
      </c>
      <c r="K74" s="3" t="str">
        <f t="shared" si="6"/>
        <v>Hesti Wulandari</v>
      </c>
      <c r="L74" s="2" t="str">
        <f>VLOOKUP(MID(A74,5,1),Referensi!$A$1:$C$6,2,FALSE)</f>
        <v>Kartu Debit</v>
      </c>
      <c r="M74" s="2" t="str">
        <f t="shared" si="7"/>
        <v>Baru</v>
      </c>
      <c r="N74" s="8">
        <f t="shared" si="8"/>
        <v>900000</v>
      </c>
      <c r="O74" s="5">
        <f t="shared" si="9"/>
        <v>0</v>
      </c>
      <c r="P74" s="8">
        <f t="shared" si="10"/>
        <v>900000</v>
      </c>
      <c r="Q74" s="8">
        <f>P74-VLOOKUP(MID(A74,5,1),Referensi!$A$1:$C$6,3,FALSE)</f>
        <v>893500</v>
      </c>
      <c r="R74" s="8">
        <f t="shared" si="11"/>
        <v>443500</v>
      </c>
    </row>
    <row r="75" spans="1:18" x14ac:dyDescent="0.2">
      <c r="A75" t="s">
        <v>131</v>
      </c>
      <c r="B75" s="1">
        <v>45353</v>
      </c>
      <c r="C75" s="2" t="s">
        <v>22</v>
      </c>
      <c r="D75" s="2" t="s">
        <v>23</v>
      </c>
      <c r="E75" s="7" t="s">
        <v>358</v>
      </c>
      <c r="F75" s="2" t="s">
        <v>16</v>
      </c>
      <c r="G75" s="2" t="s">
        <v>17</v>
      </c>
      <c r="H75" s="2">
        <v>27</v>
      </c>
      <c r="I75" s="3">
        <v>150000</v>
      </c>
      <c r="J75" s="3">
        <v>75000</v>
      </c>
      <c r="K75" s="3" t="str">
        <f t="shared" si="6"/>
        <v>Citra Dewi</v>
      </c>
      <c r="L75" s="2" t="str">
        <f>VLOOKUP(MID(A75,5,1),Referensi!$A$1:$C$6,2,FALSE)</f>
        <v>QRIS</v>
      </c>
      <c r="M75" s="2" t="str">
        <f t="shared" si="7"/>
        <v>Lama</v>
      </c>
      <c r="N75" s="8">
        <f t="shared" si="8"/>
        <v>4050000</v>
      </c>
      <c r="O75" s="5">
        <f t="shared" si="9"/>
        <v>0</v>
      </c>
      <c r="P75" s="8">
        <f t="shared" si="10"/>
        <v>4050000</v>
      </c>
      <c r="Q75" s="8">
        <f>P75-VLOOKUP(MID(A75,5,1),Referensi!$A$1:$C$6,3,FALSE)</f>
        <v>4049000</v>
      </c>
      <c r="R75" s="8">
        <f t="shared" si="11"/>
        <v>2024000</v>
      </c>
    </row>
    <row r="76" spans="1:18" x14ac:dyDescent="0.2">
      <c r="A76" t="s">
        <v>132</v>
      </c>
      <c r="B76" s="1">
        <v>45354</v>
      </c>
      <c r="C76" s="2" t="s">
        <v>22</v>
      </c>
      <c r="D76" s="2" t="s">
        <v>29</v>
      </c>
      <c r="E76" s="7" t="s">
        <v>359</v>
      </c>
      <c r="F76" s="2" t="s">
        <v>20</v>
      </c>
      <c r="G76" s="2" t="s">
        <v>21</v>
      </c>
      <c r="H76" s="2">
        <v>36</v>
      </c>
      <c r="I76" s="3">
        <v>145000</v>
      </c>
      <c r="J76" s="3">
        <v>62000</v>
      </c>
      <c r="K76" s="3" t="str">
        <f t="shared" si="6"/>
        <v>Gilang Ramadhan</v>
      </c>
      <c r="L76" s="2" t="str">
        <f>VLOOKUP(MID(A76,5,1),Referensi!$A$1:$C$6,2,FALSE)</f>
        <v>Transfer Bank</v>
      </c>
      <c r="M76" s="2" t="str">
        <f t="shared" si="7"/>
        <v>Lama</v>
      </c>
      <c r="N76" s="8">
        <f t="shared" si="8"/>
        <v>5220000</v>
      </c>
      <c r="O76" s="5">
        <f t="shared" si="9"/>
        <v>0</v>
      </c>
      <c r="P76" s="8">
        <f t="shared" si="10"/>
        <v>5220000</v>
      </c>
      <c r="Q76" s="8">
        <f>P76-VLOOKUP(MID(A76,5,1),Referensi!$A$1:$C$6,3,FALSE)</f>
        <v>5217500</v>
      </c>
      <c r="R76" s="8">
        <f t="shared" si="11"/>
        <v>2985500</v>
      </c>
    </row>
    <row r="77" spans="1:18" x14ac:dyDescent="0.2">
      <c r="A77" t="s">
        <v>133</v>
      </c>
      <c r="B77" s="1">
        <v>45355</v>
      </c>
      <c r="C77" s="2" t="s">
        <v>18</v>
      </c>
      <c r="D77" s="2" t="s">
        <v>31</v>
      </c>
      <c r="E77" s="7" t="s">
        <v>360</v>
      </c>
      <c r="F77" s="2" t="s">
        <v>16</v>
      </c>
      <c r="G77" s="2" t="s">
        <v>44</v>
      </c>
      <c r="H77" s="2">
        <v>35</v>
      </c>
      <c r="I77" s="3">
        <v>320000</v>
      </c>
      <c r="J77" s="3">
        <v>160000</v>
      </c>
      <c r="K77" s="3" t="str">
        <f t="shared" si="6"/>
        <v>Budi Santoso</v>
      </c>
      <c r="L77" s="2" t="str">
        <f>VLOOKUP(MID(A77,5,1),Referensi!$A$1:$C$6,2,FALSE)</f>
        <v>Transfer Bank</v>
      </c>
      <c r="M77" s="2" t="str">
        <f t="shared" si="7"/>
        <v>Baru</v>
      </c>
      <c r="N77" s="8">
        <f t="shared" si="8"/>
        <v>11200000</v>
      </c>
      <c r="O77" s="5">
        <f t="shared" si="9"/>
        <v>0</v>
      </c>
      <c r="P77" s="8">
        <f t="shared" si="10"/>
        <v>11200000</v>
      </c>
      <c r="Q77" s="8">
        <f>P77-VLOOKUP(MID(A77,5,1),Referensi!$A$1:$C$6,3,FALSE)</f>
        <v>11197500</v>
      </c>
      <c r="R77" s="8">
        <f t="shared" si="11"/>
        <v>5597500</v>
      </c>
    </row>
    <row r="78" spans="1:18" x14ac:dyDescent="0.2">
      <c r="A78" t="s">
        <v>134</v>
      </c>
      <c r="B78" s="1">
        <v>45355</v>
      </c>
      <c r="C78" s="2" t="s">
        <v>18</v>
      </c>
      <c r="D78" s="2" t="s">
        <v>40</v>
      </c>
      <c r="E78" s="7" t="s">
        <v>361</v>
      </c>
      <c r="F78" s="2" t="s">
        <v>14</v>
      </c>
      <c r="G78" s="2" t="s">
        <v>35</v>
      </c>
      <c r="H78" s="2">
        <v>38</v>
      </c>
      <c r="I78" s="3">
        <v>1010000</v>
      </c>
      <c r="J78" s="3">
        <v>535000</v>
      </c>
      <c r="K78" s="3" t="str">
        <f t="shared" si="6"/>
        <v>Budi Santoso</v>
      </c>
      <c r="L78" s="2" t="str">
        <f>VLOOKUP(MID(A78,5,1),Referensi!$A$1:$C$6,2,FALSE)</f>
        <v>Kartu Kredit</v>
      </c>
      <c r="M78" s="2" t="str">
        <f t="shared" si="7"/>
        <v>Lama</v>
      </c>
      <c r="N78" s="8">
        <f t="shared" si="8"/>
        <v>38380000</v>
      </c>
      <c r="O78" s="5">
        <f t="shared" si="9"/>
        <v>0</v>
      </c>
      <c r="P78" s="8">
        <f t="shared" si="10"/>
        <v>38380000</v>
      </c>
      <c r="Q78" s="8">
        <f>P78-VLOOKUP(MID(A78,5,1),Referensi!$A$1:$C$6,3,FALSE)</f>
        <v>38370000</v>
      </c>
      <c r="R78" s="8">
        <f t="shared" si="11"/>
        <v>18040000</v>
      </c>
    </row>
    <row r="79" spans="1:18" x14ac:dyDescent="0.2">
      <c r="A79" t="s">
        <v>135</v>
      </c>
      <c r="B79" s="1">
        <v>45356</v>
      </c>
      <c r="C79" s="2" t="s">
        <v>18</v>
      </c>
      <c r="D79" s="2" t="s">
        <v>31</v>
      </c>
      <c r="E79" s="7" t="s">
        <v>362</v>
      </c>
      <c r="F79" s="2" t="s">
        <v>16</v>
      </c>
      <c r="G79" s="2" t="s">
        <v>44</v>
      </c>
      <c r="H79" s="2">
        <v>23</v>
      </c>
      <c r="I79" s="3">
        <v>320000</v>
      </c>
      <c r="J79" s="3">
        <v>160000</v>
      </c>
      <c r="K79" s="3" t="str">
        <f t="shared" si="6"/>
        <v>Andi Saputra</v>
      </c>
      <c r="L79" s="2" t="str">
        <f>VLOOKUP(MID(A79,5,1),Referensi!$A$1:$C$6,2,FALSE)</f>
        <v>Transfer Bank</v>
      </c>
      <c r="M79" s="2" t="str">
        <f t="shared" si="7"/>
        <v>Lama</v>
      </c>
      <c r="N79" s="8">
        <f t="shared" si="8"/>
        <v>7360000</v>
      </c>
      <c r="O79" s="5">
        <f t="shared" si="9"/>
        <v>0</v>
      </c>
      <c r="P79" s="8">
        <f t="shared" si="10"/>
        <v>7360000</v>
      </c>
      <c r="Q79" s="8">
        <f>P79-VLOOKUP(MID(A79,5,1),Referensi!$A$1:$C$6,3,FALSE)</f>
        <v>7357500</v>
      </c>
      <c r="R79" s="8">
        <f t="shared" si="11"/>
        <v>3677500</v>
      </c>
    </row>
    <row r="80" spans="1:18" x14ac:dyDescent="0.2">
      <c r="A80" t="s">
        <v>136</v>
      </c>
      <c r="B80" s="1">
        <v>45357</v>
      </c>
      <c r="C80" s="2" t="s">
        <v>18</v>
      </c>
      <c r="D80" s="2" t="s">
        <v>40</v>
      </c>
      <c r="E80" s="7" t="s">
        <v>363</v>
      </c>
      <c r="F80" s="2" t="s">
        <v>16</v>
      </c>
      <c r="G80" s="2" t="s">
        <v>17</v>
      </c>
      <c r="H80" s="2">
        <v>34</v>
      </c>
      <c r="I80" s="3">
        <v>150000</v>
      </c>
      <c r="J80" s="3">
        <v>75000</v>
      </c>
      <c r="K80" s="3" t="str">
        <f t="shared" si="6"/>
        <v>Gilang Ramadhan</v>
      </c>
      <c r="L80" s="2" t="str">
        <f>VLOOKUP(MID(A80,5,1),Referensi!$A$1:$C$6,2,FALSE)</f>
        <v>Kartu Debit</v>
      </c>
      <c r="M80" s="2" t="str">
        <f t="shared" si="7"/>
        <v>Lama</v>
      </c>
      <c r="N80" s="8">
        <f t="shared" si="8"/>
        <v>5100000</v>
      </c>
      <c r="O80" s="5">
        <f t="shared" si="9"/>
        <v>0</v>
      </c>
      <c r="P80" s="8">
        <f t="shared" si="10"/>
        <v>5100000</v>
      </c>
      <c r="Q80" s="8">
        <f>P80-VLOOKUP(MID(A80,5,1),Referensi!$A$1:$C$6,3,FALSE)</f>
        <v>5093500</v>
      </c>
      <c r="R80" s="8">
        <f t="shared" si="11"/>
        <v>2543500</v>
      </c>
    </row>
    <row r="81" spans="1:18" x14ac:dyDescent="0.2">
      <c r="A81" t="s">
        <v>137</v>
      </c>
      <c r="B81" s="1">
        <v>45357</v>
      </c>
      <c r="C81" s="2" t="s">
        <v>12</v>
      </c>
      <c r="D81" s="2" t="s">
        <v>33</v>
      </c>
      <c r="E81" s="7" t="s">
        <v>364</v>
      </c>
      <c r="F81" s="2" t="s">
        <v>16</v>
      </c>
      <c r="G81" s="2" t="s">
        <v>17</v>
      </c>
      <c r="H81" s="2">
        <v>32</v>
      </c>
      <c r="I81" s="3">
        <v>150000</v>
      </c>
      <c r="J81" s="3">
        <v>75000</v>
      </c>
      <c r="K81" s="3" t="str">
        <f t="shared" si="6"/>
        <v>Budi Santoso</v>
      </c>
      <c r="L81" s="2" t="str">
        <f>VLOOKUP(MID(A81,5,1),Referensi!$A$1:$C$6,2,FALSE)</f>
        <v>Kartu Debit</v>
      </c>
      <c r="M81" s="2" t="str">
        <f t="shared" si="7"/>
        <v>Lama</v>
      </c>
      <c r="N81" s="8">
        <f t="shared" si="8"/>
        <v>4800000</v>
      </c>
      <c r="O81" s="5">
        <f t="shared" si="9"/>
        <v>0</v>
      </c>
      <c r="P81" s="8">
        <f t="shared" si="10"/>
        <v>4800000</v>
      </c>
      <c r="Q81" s="8">
        <f>P81-VLOOKUP(MID(A81,5,1),Referensi!$A$1:$C$6,3,FALSE)</f>
        <v>4793500</v>
      </c>
      <c r="R81" s="8">
        <f t="shared" si="11"/>
        <v>2393500</v>
      </c>
    </row>
    <row r="82" spans="1:18" x14ac:dyDescent="0.2">
      <c r="A82" t="s">
        <v>138</v>
      </c>
      <c r="B82" s="1">
        <v>45360</v>
      </c>
      <c r="C82" s="2" t="s">
        <v>18</v>
      </c>
      <c r="D82" s="2" t="s">
        <v>40</v>
      </c>
      <c r="E82" s="7" t="s">
        <v>365</v>
      </c>
      <c r="F82" s="2" t="s">
        <v>16</v>
      </c>
      <c r="G82" s="2" t="s">
        <v>32</v>
      </c>
      <c r="H82" s="2">
        <v>28</v>
      </c>
      <c r="I82" s="3">
        <v>420000</v>
      </c>
      <c r="J82" s="3">
        <v>225000</v>
      </c>
      <c r="K82" s="3" t="str">
        <f t="shared" si="6"/>
        <v>Gilang Ramadhan</v>
      </c>
      <c r="L82" s="2" t="str">
        <f>VLOOKUP(MID(A82,5,1),Referensi!$A$1:$C$6,2,FALSE)</f>
        <v>Kartu Debit</v>
      </c>
      <c r="M82" s="2" t="str">
        <f t="shared" si="7"/>
        <v>Lama</v>
      </c>
      <c r="N82" s="8">
        <f t="shared" si="8"/>
        <v>11760000</v>
      </c>
      <c r="O82" s="5">
        <f t="shared" si="9"/>
        <v>0</v>
      </c>
      <c r="P82" s="8">
        <f t="shared" si="10"/>
        <v>11760000</v>
      </c>
      <c r="Q82" s="8">
        <f>P82-VLOOKUP(MID(A82,5,1),Referensi!$A$1:$C$6,3,FALSE)</f>
        <v>11753500</v>
      </c>
      <c r="R82" s="8">
        <f t="shared" si="11"/>
        <v>5453500</v>
      </c>
    </row>
    <row r="83" spans="1:18" x14ac:dyDescent="0.2">
      <c r="A83" t="s">
        <v>139</v>
      </c>
      <c r="B83" s="1">
        <v>45361</v>
      </c>
      <c r="C83" s="2" t="s">
        <v>12</v>
      </c>
      <c r="D83" s="2" t="s">
        <v>33</v>
      </c>
      <c r="E83" s="7" t="s">
        <v>366</v>
      </c>
      <c r="F83" s="2" t="s">
        <v>16</v>
      </c>
      <c r="G83" s="2" t="s">
        <v>36</v>
      </c>
      <c r="H83" s="2">
        <v>13</v>
      </c>
      <c r="I83" s="3">
        <v>280000</v>
      </c>
      <c r="J83" s="3">
        <v>130000</v>
      </c>
      <c r="K83" s="3" t="str">
        <f t="shared" si="6"/>
        <v>Dewi Lestari</v>
      </c>
      <c r="L83" s="2" t="str">
        <f>VLOOKUP(MID(A83,5,1),Referensi!$A$1:$C$6,2,FALSE)</f>
        <v>Tunai</v>
      </c>
      <c r="M83" s="2" t="str">
        <f t="shared" si="7"/>
        <v>Baru</v>
      </c>
      <c r="N83" s="8">
        <f t="shared" si="8"/>
        <v>3640000</v>
      </c>
      <c r="O83" s="5">
        <f t="shared" si="9"/>
        <v>0</v>
      </c>
      <c r="P83" s="8">
        <f t="shared" si="10"/>
        <v>3640000</v>
      </c>
      <c r="Q83" s="8">
        <f>P83-VLOOKUP(MID(A83,5,1),Referensi!$A$1:$C$6,3,FALSE)</f>
        <v>3640000</v>
      </c>
      <c r="R83" s="8">
        <f t="shared" si="11"/>
        <v>1950000</v>
      </c>
    </row>
    <row r="84" spans="1:18" x14ac:dyDescent="0.2">
      <c r="A84" t="s">
        <v>140</v>
      </c>
      <c r="B84" s="1">
        <v>45361</v>
      </c>
      <c r="C84" s="2" t="s">
        <v>25</v>
      </c>
      <c r="D84" s="2" t="s">
        <v>26</v>
      </c>
      <c r="E84" s="7" t="s">
        <v>367</v>
      </c>
      <c r="F84" s="2" t="s">
        <v>16</v>
      </c>
      <c r="G84" s="2" t="s">
        <v>44</v>
      </c>
      <c r="H84" s="2">
        <v>28</v>
      </c>
      <c r="I84" s="3">
        <v>320000</v>
      </c>
      <c r="J84" s="3">
        <v>160000</v>
      </c>
      <c r="K84" s="3" t="str">
        <f t="shared" si="6"/>
        <v>Budi Santoso</v>
      </c>
      <c r="L84" s="2" t="str">
        <f>VLOOKUP(MID(A84,5,1),Referensi!$A$1:$C$6,2,FALSE)</f>
        <v>Kartu Kredit</v>
      </c>
      <c r="M84" s="2" t="str">
        <f t="shared" si="7"/>
        <v>Baru</v>
      </c>
      <c r="N84" s="8">
        <f t="shared" si="8"/>
        <v>8960000</v>
      </c>
      <c r="O84" s="5">
        <f t="shared" si="9"/>
        <v>0</v>
      </c>
      <c r="P84" s="8">
        <f t="shared" si="10"/>
        <v>8960000</v>
      </c>
      <c r="Q84" s="8">
        <f>P84-VLOOKUP(MID(A84,5,1),Referensi!$A$1:$C$6,3,FALSE)</f>
        <v>8950000</v>
      </c>
      <c r="R84" s="8">
        <f t="shared" si="11"/>
        <v>4470000</v>
      </c>
    </row>
    <row r="85" spans="1:18" x14ac:dyDescent="0.2">
      <c r="A85" t="s">
        <v>141</v>
      </c>
      <c r="B85" s="1">
        <v>45361</v>
      </c>
      <c r="C85" s="2" t="s">
        <v>25</v>
      </c>
      <c r="D85" s="2" t="s">
        <v>26</v>
      </c>
      <c r="E85" s="7" t="s">
        <v>368</v>
      </c>
      <c r="F85" s="2" t="s">
        <v>27</v>
      </c>
      <c r="G85" s="2" t="s">
        <v>30</v>
      </c>
      <c r="H85" s="2">
        <v>27</v>
      </c>
      <c r="I85" s="3">
        <v>110000</v>
      </c>
      <c r="J85" s="3">
        <v>46000</v>
      </c>
      <c r="K85" s="3" t="str">
        <f t="shared" si="6"/>
        <v>Hesti Wulandari</v>
      </c>
      <c r="L85" s="2" t="str">
        <f>VLOOKUP(MID(A85,5,1),Referensi!$A$1:$C$6,2,FALSE)</f>
        <v>Tunai</v>
      </c>
      <c r="M85" s="2" t="str">
        <f t="shared" si="7"/>
        <v>Baru</v>
      </c>
      <c r="N85" s="8">
        <f t="shared" si="8"/>
        <v>2970000</v>
      </c>
      <c r="O85" s="5">
        <f t="shared" si="9"/>
        <v>0</v>
      </c>
      <c r="P85" s="8">
        <f t="shared" si="10"/>
        <v>2970000</v>
      </c>
      <c r="Q85" s="8">
        <f>P85-VLOOKUP(MID(A85,5,1),Referensi!$A$1:$C$6,3,FALSE)</f>
        <v>2970000</v>
      </c>
      <c r="R85" s="8">
        <f t="shared" si="11"/>
        <v>1728000</v>
      </c>
    </row>
    <row r="86" spans="1:18" x14ac:dyDescent="0.2">
      <c r="A86" t="s">
        <v>142</v>
      </c>
      <c r="B86" s="1">
        <v>45362</v>
      </c>
      <c r="C86" s="2" t="s">
        <v>22</v>
      </c>
      <c r="D86" s="2" t="s">
        <v>23</v>
      </c>
      <c r="E86" s="7" t="s">
        <v>369</v>
      </c>
      <c r="F86" s="2" t="s">
        <v>20</v>
      </c>
      <c r="G86" s="2" t="s">
        <v>42</v>
      </c>
      <c r="H86" s="2">
        <v>8</v>
      </c>
      <c r="I86" s="3">
        <v>60000</v>
      </c>
      <c r="J86" s="3">
        <v>25000</v>
      </c>
      <c r="K86" s="3" t="str">
        <f t="shared" si="6"/>
        <v>Eko Prasetyo</v>
      </c>
      <c r="L86" s="2" t="str">
        <f>VLOOKUP(MID(A86,5,1),Referensi!$A$1:$C$6,2,FALSE)</f>
        <v>Kartu Debit</v>
      </c>
      <c r="M86" s="2" t="str">
        <f t="shared" si="7"/>
        <v>Lama</v>
      </c>
      <c r="N86" s="8">
        <f t="shared" si="8"/>
        <v>480000</v>
      </c>
      <c r="O86" s="5">
        <f t="shared" si="9"/>
        <v>0</v>
      </c>
      <c r="P86" s="8">
        <f t="shared" si="10"/>
        <v>480000</v>
      </c>
      <c r="Q86" s="8">
        <f>P86-VLOOKUP(MID(A86,5,1),Referensi!$A$1:$C$6,3,FALSE)</f>
        <v>473500</v>
      </c>
      <c r="R86" s="8">
        <f t="shared" si="11"/>
        <v>273500</v>
      </c>
    </row>
    <row r="87" spans="1:18" x14ac:dyDescent="0.2">
      <c r="A87" t="s">
        <v>143</v>
      </c>
      <c r="B87" s="1">
        <v>45363</v>
      </c>
      <c r="C87" s="2" t="s">
        <v>12</v>
      </c>
      <c r="D87" s="2" t="s">
        <v>13</v>
      </c>
      <c r="E87" s="7" t="s">
        <v>370</v>
      </c>
      <c r="F87" s="2" t="s">
        <v>16</v>
      </c>
      <c r="G87" s="2" t="s">
        <v>32</v>
      </c>
      <c r="H87" s="2">
        <v>16</v>
      </c>
      <c r="I87" s="3">
        <v>420000</v>
      </c>
      <c r="J87" s="3">
        <v>225000</v>
      </c>
      <c r="K87" s="3" t="str">
        <f t="shared" si="6"/>
        <v>Dewi Lestari</v>
      </c>
      <c r="L87" s="2" t="str">
        <f>VLOOKUP(MID(A87,5,1),Referensi!$A$1:$C$6,2,FALSE)</f>
        <v>Tunai</v>
      </c>
      <c r="M87" s="2" t="str">
        <f t="shared" si="7"/>
        <v>Lama</v>
      </c>
      <c r="N87" s="8">
        <f t="shared" si="8"/>
        <v>6720000</v>
      </c>
      <c r="O87" s="5">
        <f t="shared" si="9"/>
        <v>0</v>
      </c>
      <c r="P87" s="8">
        <f t="shared" si="10"/>
        <v>6720000</v>
      </c>
      <c r="Q87" s="8">
        <f>P87-VLOOKUP(MID(A87,5,1),Referensi!$A$1:$C$6,3,FALSE)</f>
        <v>6720000</v>
      </c>
      <c r="R87" s="8">
        <f t="shared" si="11"/>
        <v>3120000</v>
      </c>
    </row>
    <row r="88" spans="1:18" x14ac:dyDescent="0.2">
      <c r="A88" t="s">
        <v>144</v>
      </c>
      <c r="B88" s="1">
        <v>45364</v>
      </c>
      <c r="C88" s="2" t="s">
        <v>12</v>
      </c>
      <c r="D88" s="2" t="s">
        <v>33</v>
      </c>
      <c r="E88" s="7" t="s">
        <v>371</v>
      </c>
      <c r="F88" s="2" t="s">
        <v>27</v>
      </c>
      <c r="G88" s="2" t="s">
        <v>30</v>
      </c>
      <c r="H88" s="2">
        <v>35</v>
      </c>
      <c r="I88" s="3">
        <v>110000</v>
      </c>
      <c r="J88" s="3">
        <v>46000</v>
      </c>
      <c r="K88" s="3" t="str">
        <f t="shared" si="6"/>
        <v>Citra Dewi</v>
      </c>
      <c r="L88" s="2" t="str">
        <f>VLOOKUP(MID(A88,5,1),Referensi!$A$1:$C$6,2,FALSE)</f>
        <v>Tunai</v>
      </c>
      <c r="M88" s="2" t="str">
        <f t="shared" si="7"/>
        <v>Baru</v>
      </c>
      <c r="N88" s="8">
        <f t="shared" si="8"/>
        <v>3850000</v>
      </c>
      <c r="O88" s="5">
        <f t="shared" si="9"/>
        <v>0</v>
      </c>
      <c r="P88" s="8">
        <f t="shared" si="10"/>
        <v>3850000</v>
      </c>
      <c r="Q88" s="8">
        <f>P88-VLOOKUP(MID(A88,5,1),Referensi!$A$1:$C$6,3,FALSE)</f>
        <v>3850000</v>
      </c>
      <c r="R88" s="8">
        <f t="shared" si="11"/>
        <v>2240000</v>
      </c>
    </row>
    <row r="89" spans="1:18" x14ac:dyDescent="0.2">
      <c r="A89" t="s">
        <v>145</v>
      </c>
      <c r="B89" s="1">
        <v>45364</v>
      </c>
      <c r="C89" s="2" t="s">
        <v>18</v>
      </c>
      <c r="D89" s="2" t="s">
        <v>31</v>
      </c>
      <c r="E89" s="7" t="s">
        <v>372</v>
      </c>
      <c r="F89" s="2" t="s">
        <v>20</v>
      </c>
      <c r="G89" s="2" t="s">
        <v>21</v>
      </c>
      <c r="H89" s="2">
        <v>9</v>
      </c>
      <c r="I89" s="3">
        <v>145000</v>
      </c>
      <c r="J89" s="3">
        <v>62000</v>
      </c>
      <c r="K89" s="3" t="str">
        <f t="shared" si="6"/>
        <v>Dewi Lestari</v>
      </c>
      <c r="L89" s="2" t="str">
        <f>VLOOKUP(MID(A89,5,1),Referensi!$A$1:$C$6,2,FALSE)</f>
        <v>Tunai</v>
      </c>
      <c r="M89" s="2" t="str">
        <f t="shared" si="7"/>
        <v>Baru</v>
      </c>
      <c r="N89" s="8">
        <f t="shared" si="8"/>
        <v>1305000</v>
      </c>
      <c r="O89" s="5">
        <f t="shared" si="9"/>
        <v>0</v>
      </c>
      <c r="P89" s="8">
        <f t="shared" si="10"/>
        <v>1305000</v>
      </c>
      <c r="Q89" s="8">
        <f>P89-VLOOKUP(MID(A89,5,1),Referensi!$A$1:$C$6,3,FALSE)</f>
        <v>1305000</v>
      </c>
      <c r="R89" s="8">
        <f t="shared" si="11"/>
        <v>747000</v>
      </c>
    </row>
    <row r="90" spans="1:18" x14ac:dyDescent="0.2">
      <c r="A90" t="s">
        <v>146</v>
      </c>
      <c r="B90" s="1">
        <v>45365</v>
      </c>
      <c r="C90" s="2" t="s">
        <v>22</v>
      </c>
      <c r="D90" s="2" t="s">
        <v>23</v>
      </c>
      <c r="E90" s="7" t="s">
        <v>373</v>
      </c>
      <c r="F90" s="2" t="s">
        <v>14</v>
      </c>
      <c r="G90" s="2" t="s">
        <v>15</v>
      </c>
      <c r="H90" s="2">
        <v>38</v>
      </c>
      <c r="I90" s="3">
        <v>2290000</v>
      </c>
      <c r="J90" s="3">
        <v>1290000</v>
      </c>
      <c r="K90" s="3" t="str">
        <f t="shared" si="6"/>
        <v>Hesti Wulandari</v>
      </c>
      <c r="L90" s="2" t="str">
        <f>VLOOKUP(MID(A90,5,1),Referensi!$A$1:$C$6,2,FALSE)</f>
        <v>QRIS</v>
      </c>
      <c r="M90" s="2" t="str">
        <f t="shared" si="7"/>
        <v>Lama</v>
      </c>
      <c r="N90" s="8">
        <f t="shared" si="8"/>
        <v>87020000</v>
      </c>
      <c r="O90" s="5">
        <f t="shared" si="9"/>
        <v>0.15</v>
      </c>
      <c r="P90" s="8">
        <f t="shared" si="10"/>
        <v>73967000</v>
      </c>
      <c r="Q90" s="8">
        <f>P90-VLOOKUP(MID(A90,5,1),Referensi!$A$1:$C$6,3,FALSE)</f>
        <v>73966000</v>
      </c>
      <c r="R90" s="8">
        <f t="shared" si="11"/>
        <v>24946000</v>
      </c>
    </row>
    <row r="91" spans="1:18" x14ac:dyDescent="0.2">
      <c r="A91" t="s">
        <v>147</v>
      </c>
      <c r="B91" s="1">
        <v>45365</v>
      </c>
      <c r="C91" s="2" t="s">
        <v>25</v>
      </c>
      <c r="D91" s="2" t="s">
        <v>37</v>
      </c>
      <c r="E91" s="7" t="s">
        <v>374</v>
      </c>
      <c r="F91" s="2" t="s">
        <v>16</v>
      </c>
      <c r="G91" s="2" t="s">
        <v>24</v>
      </c>
      <c r="H91" s="2">
        <v>5</v>
      </c>
      <c r="I91" s="3">
        <v>370000</v>
      </c>
      <c r="J91" s="3">
        <v>195000</v>
      </c>
      <c r="K91" s="3" t="str">
        <f t="shared" si="6"/>
        <v>Budi Santoso</v>
      </c>
      <c r="L91" s="2" t="str">
        <f>VLOOKUP(MID(A91,5,1),Referensi!$A$1:$C$6,2,FALSE)</f>
        <v>QRIS</v>
      </c>
      <c r="M91" s="2" t="str">
        <f t="shared" si="7"/>
        <v>Baru</v>
      </c>
      <c r="N91" s="8">
        <f t="shared" si="8"/>
        <v>1850000</v>
      </c>
      <c r="O91" s="5">
        <f t="shared" si="9"/>
        <v>0</v>
      </c>
      <c r="P91" s="8">
        <f t="shared" si="10"/>
        <v>1850000</v>
      </c>
      <c r="Q91" s="8">
        <f>P91-VLOOKUP(MID(A91,5,1),Referensi!$A$1:$C$6,3,FALSE)</f>
        <v>1849000</v>
      </c>
      <c r="R91" s="8">
        <f t="shared" si="11"/>
        <v>874000</v>
      </c>
    </row>
    <row r="92" spans="1:18" x14ac:dyDescent="0.2">
      <c r="A92" t="s">
        <v>148</v>
      </c>
      <c r="B92" s="1">
        <v>45365</v>
      </c>
      <c r="C92" s="2" t="s">
        <v>18</v>
      </c>
      <c r="D92" s="2" t="s">
        <v>19</v>
      </c>
      <c r="E92" s="7" t="s">
        <v>375</v>
      </c>
      <c r="F92" s="2" t="s">
        <v>16</v>
      </c>
      <c r="G92" s="2" t="s">
        <v>24</v>
      </c>
      <c r="H92" s="2">
        <v>17</v>
      </c>
      <c r="I92" s="3">
        <v>370000</v>
      </c>
      <c r="J92" s="3">
        <v>195000</v>
      </c>
      <c r="K92" s="3" t="str">
        <f t="shared" si="6"/>
        <v>Gilang Ramadhan</v>
      </c>
      <c r="L92" s="2" t="str">
        <f>VLOOKUP(MID(A92,5,1),Referensi!$A$1:$C$6,2,FALSE)</f>
        <v>QRIS</v>
      </c>
      <c r="M92" s="2" t="str">
        <f t="shared" si="7"/>
        <v>Baru</v>
      </c>
      <c r="N92" s="8">
        <f t="shared" si="8"/>
        <v>6290000</v>
      </c>
      <c r="O92" s="5">
        <f t="shared" si="9"/>
        <v>0</v>
      </c>
      <c r="P92" s="8">
        <f t="shared" si="10"/>
        <v>6290000</v>
      </c>
      <c r="Q92" s="8">
        <f>P92-VLOOKUP(MID(A92,5,1),Referensi!$A$1:$C$6,3,FALSE)</f>
        <v>6289000</v>
      </c>
      <c r="R92" s="8">
        <f t="shared" si="11"/>
        <v>2974000</v>
      </c>
    </row>
    <row r="93" spans="1:18" x14ac:dyDescent="0.2">
      <c r="A93" t="s">
        <v>149</v>
      </c>
      <c r="B93" s="1">
        <v>45366</v>
      </c>
      <c r="C93" s="2" t="s">
        <v>18</v>
      </c>
      <c r="D93" s="2" t="s">
        <v>19</v>
      </c>
      <c r="E93" s="7" t="s">
        <v>376</v>
      </c>
      <c r="F93" s="2" t="s">
        <v>20</v>
      </c>
      <c r="G93" s="2" t="s">
        <v>41</v>
      </c>
      <c r="H93" s="2">
        <v>30</v>
      </c>
      <c r="I93" s="3">
        <v>75000</v>
      </c>
      <c r="J93" s="3">
        <v>28000</v>
      </c>
      <c r="K93" s="3" t="str">
        <f t="shared" si="6"/>
        <v>Eko Prasetyo</v>
      </c>
      <c r="L93" s="2" t="str">
        <f>VLOOKUP(MID(A93,5,1),Referensi!$A$1:$C$6,2,FALSE)</f>
        <v>Kartu Kredit</v>
      </c>
      <c r="M93" s="2" t="str">
        <f t="shared" si="7"/>
        <v>Lama</v>
      </c>
      <c r="N93" s="8">
        <f t="shared" si="8"/>
        <v>2250000</v>
      </c>
      <c r="O93" s="5">
        <f t="shared" si="9"/>
        <v>0</v>
      </c>
      <c r="P93" s="8">
        <f t="shared" si="10"/>
        <v>2250000</v>
      </c>
      <c r="Q93" s="8">
        <f>P93-VLOOKUP(MID(A93,5,1),Referensi!$A$1:$C$6,3,FALSE)</f>
        <v>2240000</v>
      </c>
      <c r="R93" s="8">
        <f t="shared" si="11"/>
        <v>1400000</v>
      </c>
    </row>
    <row r="94" spans="1:18" x14ac:dyDescent="0.2">
      <c r="A94" t="s">
        <v>150</v>
      </c>
      <c r="B94" s="1">
        <v>45366</v>
      </c>
      <c r="C94" s="2" t="s">
        <v>12</v>
      </c>
      <c r="D94" s="2" t="s">
        <v>33</v>
      </c>
      <c r="E94" s="7" t="s">
        <v>377</v>
      </c>
      <c r="F94" s="2" t="s">
        <v>27</v>
      </c>
      <c r="G94" s="2" t="s">
        <v>28</v>
      </c>
      <c r="H94" s="2">
        <v>16</v>
      </c>
      <c r="I94" s="3">
        <v>295000</v>
      </c>
      <c r="J94" s="3">
        <v>138000</v>
      </c>
      <c r="K94" s="3" t="str">
        <f t="shared" si="6"/>
        <v>Hesti Wulandari</v>
      </c>
      <c r="L94" s="2" t="str">
        <f>VLOOKUP(MID(A94,5,1),Referensi!$A$1:$C$6,2,FALSE)</f>
        <v>QRIS</v>
      </c>
      <c r="M94" s="2" t="str">
        <f t="shared" si="7"/>
        <v>Lama</v>
      </c>
      <c r="N94" s="8">
        <f t="shared" si="8"/>
        <v>4720000</v>
      </c>
      <c r="O94" s="5">
        <f t="shared" si="9"/>
        <v>0</v>
      </c>
      <c r="P94" s="8">
        <f t="shared" si="10"/>
        <v>4720000</v>
      </c>
      <c r="Q94" s="8">
        <f>P94-VLOOKUP(MID(A94,5,1),Referensi!$A$1:$C$6,3,FALSE)</f>
        <v>4719000</v>
      </c>
      <c r="R94" s="8">
        <f t="shared" si="11"/>
        <v>2511000</v>
      </c>
    </row>
    <row r="95" spans="1:18" x14ac:dyDescent="0.2">
      <c r="A95" t="s">
        <v>151</v>
      </c>
      <c r="B95" s="1">
        <v>45370</v>
      </c>
      <c r="C95" s="2" t="s">
        <v>12</v>
      </c>
      <c r="D95" s="2" t="s">
        <v>33</v>
      </c>
      <c r="E95" s="7" t="s">
        <v>378</v>
      </c>
      <c r="F95" s="2" t="s">
        <v>14</v>
      </c>
      <c r="G95" s="2" t="s">
        <v>35</v>
      </c>
      <c r="H95" s="2">
        <v>36</v>
      </c>
      <c r="I95" s="3">
        <v>1010000</v>
      </c>
      <c r="J95" s="3">
        <v>535000</v>
      </c>
      <c r="K95" s="3" t="str">
        <f t="shared" si="6"/>
        <v>Fitri Handayani</v>
      </c>
      <c r="L95" s="2" t="str">
        <f>VLOOKUP(MID(A95,5,1),Referensi!$A$1:$C$6,2,FALSE)</f>
        <v>QRIS</v>
      </c>
      <c r="M95" s="2" t="str">
        <f t="shared" si="7"/>
        <v>Baru</v>
      </c>
      <c r="N95" s="8">
        <f t="shared" si="8"/>
        <v>36360000</v>
      </c>
      <c r="O95" s="5">
        <f t="shared" si="9"/>
        <v>0.1</v>
      </c>
      <c r="P95" s="8">
        <f t="shared" si="10"/>
        <v>32724000</v>
      </c>
      <c r="Q95" s="8">
        <f>P95-VLOOKUP(MID(A95,5,1),Referensi!$A$1:$C$6,3,FALSE)</f>
        <v>32723000</v>
      </c>
      <c r="R95" s="8">
        <f t="shared" si="11"/>
        <v>13463000</v>
      </c>
    </row>
    <row r="96" spans="1:18" x14ac:dyDescent="0.2">
      <c r="A96" t="s">
        <v>152</v>
      </c>
      <c r="B96" s="1">
        <v>45370</v>
      </c>
      <c r="C96" s="2" t="s">
        <v>18</v>
      </c>
      <c r="D96" s="2" t="s">
        <v>40</v>
      </c>
      <c r="E96" s="7" t="s">
        <v>379</v>
      </c>
      <c r="F96" s="2" t="s">
        <v>20</v>
      </c>
      <c r="G96" s="2" t="s">
        <v>38</v>
      </c>
      <c r="H96" s="2">
        <v>14</v>
      </c>
      <c r="I96" s="3">
        <v>48000</v>
      </c>
      <c r="J96" s="3">
        <v>19000</v>
      </c>
      <c r="K96" s="3" t="str">
        <f t="shared" si="6"/>
        <v>Budi Santoso</v>
      </c>
      <c r="L96" s="2" t="str">
        <f>VLOOKUP(MID(A96,5,1),Referensi!$A$1:$C$6,2,FALSE)</f>
        <v>Kartu Debit</v>
      </c>
      <c r="M96" s="2" t="str">
        <f t="shared" si="7"/>
        <v>Lama</v>
      </c>
      <c r="N96" s="8">
        <f t="shared" si="8"/>
        <v>672000</v>
      </c>
      <c r="O96" s="5">
        <f t="shared" si="9"/>
        <v>0</v>
      </c>
      <c r="P96" s="8">
        <f t="shared" si="10"/>
        <v>672000</v>
      </c>
      <c r="Q96" s="8">
        <f>P96-VLOOKUP(MID(A96,5,1),Referensi!$A$1:$C$6,3,FALSE)</f>
        <v>665500</v>
      </c>
      <c r="R96" s="8">
        <f t="shared" si="11"/>
        <v>399500</v>
      </c>
    </row>
    <row r="97" spans="1:18" x14ac:dyDescent="0.2">
      <c r="A97" t="s">
        <v>153</v>
      </c>
      <c r="B97" s="1">
        <v>45371</v>
      </c>
      <c r="C97" s="2" t="s">
        <v>25</v>
      </c>
      <c r="D97" s="2" t="s">
        <v>26</v>
      </c>
      <c r="E97" s="7" t="s">
        <v>380</v>
      </c>
      <c r="F97" s="2" t="s">
        <v>20</v>
      </c>
      <c r="G97" s="2" t="s">
        <v>41</v>
      </c>
      <c r="H97" s="2">
        <v>36</v>
      </c>
      <c r="I97" s="3">
        <v>75000</v>
      </c>
      <c r="J97" s="3">
        <v>28000</v>
      </c>
      <c r="K97" s="3" t="str">
        <f t="shared" si="6"/>
        <v>Gilang Ramadhan</v>
      </c>
      <c r="L97" s="2" t="str">
        <f>VLOOKUP(MID(A97,5,1),Referensi!$A$1:$C$6,2,FALSE)</f>
        <v>QRIS</v>
      </c>
      <c r="M97" s="2" t="str">
        <f t="shared" si="7"/>
        <v>Baru</v>
      </c>
      <c r="N97" s="8">
        <f t="shared" si="8"/>
        <v>2700000</v>
      </c>
      <c r="O97" s="5">
        <f t="shared" si="9"/>
        <v>0</v>
      </c>
      <c r="P97" s="8">
        <f t="shared" si="10"/>
        <v>2700000</v>
      </c>
      <c r="Q97" s="8">
        <f>P97-VLOOKUP(MID(A97,5,1),Referensi!$A$1:$C$6,3,FALSE)</f>
        <v>2699000</v>
      </c>
      <c r="R97" s="8">
        <f t="shared" si="11"/>
        <v>1691000</v>
      </c>
    </row>
    <row r="98" spans="1:18" x14ac:dyDescent="0.2">
      <c r="A98" t="s">
        <v>154</v>
      </c>
      <c r="B98" s="1">
        <v>45371</v>
      </c>
      <c r="C98" s="2" t="s">
        <v>12</v>
      </c>
      <c r="D98" s="2" t="s">
        <v>13</v>
      </c>
      <c r="E98" s="7" t="s">
        <v>381</v>
      </c>
      <c r="F98" s="2" t="s">
        <v>16</v>
      </c>
      <c r="G98" s="2" t="s">
        <v>24</v>
      </c>
      <c r="H98" s="2">
        <v>11</v>
      </c>
      <c r="I98" s="3">
        <v>370000</v>
      </c>
      <c r="J98" s="3">
        <v>195000</v>
      </c>
      <c r="K98" s="3" t="str">
        <f t="shared" si="6"/>
        <v>Andi Saputra</v>
      </c>
      <c r="L98" s="2" t="str">
        <f>VLOOKUP(MID(A98,5,1),Referensi!$A$1:$C$6,2,FALSE)</f>
        <v>Transfer Bank</v>
      </c>
      <c r="M98" s="2" t="str">
        <f t="shared" si="7"/>
        <v>Lama</v>
      </c>
      <c r="N98" s="8">
        <f t="shared" si="8"/>
        <v>4070000</v>
      </c>
      <c r="O98" s="5">
        <f t="shared" si="9"/>
        <v>0</v>
      </c>
      <c r="P98" s="8">
        <f t="shared" si="10"/>
        <v>4070000</v>
      </c>
      <c r="Q98" s="8">
        <f>P98-VLOOKUP(MID(A98,5,1),Referensi!$A$1:$C$6,3,FALSE)</f>
        <v>4067500</v>
      </c>
      <c r="R98" s="8">
        <f t="shared" si="11"/>
        <v>1922500</v>
      </c>
    </row>
    <row r="99" spans="1:18" x14ac:dyDescent="0.2">
      <c r="A99" t="s">
        <v>155</v>
      </c>
      <c r="B99" s="1">
        <v>45372</v>
      </c>
      <c r="C99" s="2" t="s">
        <v>22</v>
      </c>
      <c r="D99" s="2" t="s">
        <v>29</v>
      </c>
      <c r="E99" s="7" t="s">
        <v>382</v>
      </c>
      <c r="F99" s="2" t="s">
        <v>27</v>
      </c>
      <c r="G99" s="2" t="s">
        <v>30</v>
      </c>
      <c r="H99" s="2">
        <v>10</v>
      </c>
      <c r="I99" s="3">
        <v>110000</v>
      </c>
      <c r="J99" s="3">
        <v>46000</v>
      </c>
      <c r="K99" s="3" t="str">
        <f t="shared" si="6"/>
        <v>Gilang Ramadhan</v>
      </c>
      <c r="L99" s="2" t="str">
        <f>VLOOKUP(MID(A99,5,1),Referensi!$A$1:$C$6,2,FALSE)</f>
        <v>Tunai</v>
      </c>
      <c r="M99" s="2" t="str">
        <f t="shared" si="7"/>
        <v>Baru</v>
      </c>
      <c r="N99" s="8">
        <f t="shared" si="8"/>
        <v>1100000</v>
      </c>
      <c r="O99" s="5">
        <f t="shared" si="9"/>
        <v>0</v>
      </c>
      <c r="P99" s="8">
        <f t="shared" si="10"/>
        <v>1100000</v>
      </c>
      <c r="Q99" s="8">
        <f>P99-VLOOKUP(MID(A99,5,1),Referensi!$A$1:$C$6,3,FALSE)</f>
        <v>1100000</v>
      </c>
      <c r="R99" s="8">
        <f t="shared" si="11"/>
        <v>640000</v>
      </c>
    </row>
    <row r="100" spans="1:18" x14ac:dyDescent="0.2">
      <c r="A100" t="s">
        <v>156</v>
      </c>
      <c r="B100" s="1">
        <v>45372</v>
      </c>
      <c r="C100" s="2" t="s">
        <v>18</v>
      </c>
      <c r="D100" s="2" t="s">
        <v>19</v>
      </c>
      <c r="E100" s="7" t="s">
        <v>383</v>
      </c>
      <c r="F100" s="2" t="s">
        <v>16</v>
      </c>
      <c r="G100" s="2" t="s">
        <v>36</v>
      </c>
      <c r="H100" s="2">
        <v>5</v>
      </c>
      <c r="I100" s="3">
        <v>280000</v>
      </c>
      <c r="J100" s="3">
        <v>130000</v>
      </c>
      <c r="K100" s="3" t="str">
        <f t="shared" si="6"/>
        <v>Hesti Wulandari</v>
      </c>
      <c r="L100" s="2" t="str">
        <f>VLOOKUP(MID(A100,5,1),Referensi!$A$1:$C$6,2,FALSE)</f>
        <v>Kartu Kredit</v>
      </c>
      <c r="M100" s="2" t="str">
        <f t="shared" si="7"/>
        <v>Baru</v>
      </c>
      <c r="N100" s="8">
        <f t="shared" si="8"/>
        <v>1400000</v>
      </c>
      <c r="O100" s="5">
        <f t="shared" si="9"/>
        <v>0</v>
      </c>
      <c r="P100" s="8">
        <f t="shared" si="10"/>
        <v>1400000</v>
      </c>
      <c r="Q100" s="8">
        <f>P100-VLOOKUP(MID(A100,5,1),Referensi!$A$1:$C$6,3,FALSE)</f>
        <v>1390000</v>
      </c>
      <c r="R100" s="8">
        <f t="shared" si="11"/>
        <v>740000</v>
      </c>
    </row>
    <row r="101" spans="1:18" x14ac:dyDescent="0.2">
      <c r="A101" t="s">
        <v>157</v>
      </c>
      <c r="B101" s="1">
        <v>45372</v>
      </c>
      <c r="C101" s="2" t="s">
        <v>25</v>
      </c>
      <c r="D101" s="2" t="s">
        <v>26</v>
      </c>
      <c r="E101" s="7" t="s">
        <v>384</v>
      </c>
      <c r="F101" s="2" t="s">
        <v>20</v>
      </c>
      <c r="G101" s="2" t="s">
        <v>41</v>
      </c>
      <c r="H101" s="2">
        <v>8</v>
      </c>
      <c r="I101" s="3">
        <v>75000</v>
      </c>
      <c r="J101" s="3">
        <v>28000</v>
      </c>
      <c r="K101" s="3" t="str">
        <f t="shared" si="6"/>
        <v>Gilang Ramadhan</v>
      </c>
      <c r="L101" s="2" t="str">
        <f>VLOOKUP(MID(A101,5,1),Referensi!$A$1:$C$6,2,FALSE)</f>
        <v>Kartu Kredit</v>
      </c>
      <c r="M101" s="2" t="str">
        <f t="shared" si="7"/>
        <v>Baru</v>
      </c>
      <c r="N101" s="8">
        <f t="shared" si="8"/>
        <v>600000</v>
      </c>
      <c r="O101" s="5">
        <f t="shared" si="9"/>
        <v>0</v>
      </c>
      <c r="P101" s="8">
        <f t="shared" si="10"/>
        <v>600000</v>
      </c>
      <c r="Q101" s="8">
        <f>P101-VLOOKUP(MID(A101,5,1),Referensi!$A$1:$C$6,3,FALSE)</f>
        <v>590000</v>
      </c>
      <c r="R101" s="8">
        <f t="shared" si="11"/>
        <v>366000</v>
      </c>
    </row>
    <row r="102" spans="1:18" x14ac:dyDescent="0.2">
      <c r="A102" t="s">
        <v>158</v>
      </c>
      <c r="B102" s="1">
        <v>45372</v>
      </c>
      <c r="C102" s="2" t="s">
        <v>12</v>
      </c>
      <c r="D102" s="2" t="s">
        <v>33</v>
      </c>
      <c r="E102" s="7" t="s">
        <v>385</v>
      </c>
      <c r="F102" s="2" t="s">
        <v>20</v>
      </c>
      <c r="G102" s="2" t="s">
        <v>21</v>
      </c>
      <c r="H102" s="2">
        <v>3</v>
      </c>
      <c r="I102" s="3">
        <v>145000</v>
      </c>
      <c r="J102" s="3">
        <v>62000</v>
      </c>
      <c r="K102" s="3" t="str">
        <f t="shared" si="6"/>
        <v>Hesti Wulandari</v>
      </c>
      <c r="L102" s="2" t="str">
        <f>VLOOKUP(MID(A102,5,1),Referensi!$A$1:$C$6,2,FALSE)</f>
        <v>Kartu Kredit</v>
      </c>
      <c r="M102" s="2" t="str">
        <f t="shared" si="7"/>
        <v>Lama</v>
      </c>
      <c r="N102" s="8">
        <f t="shared" si="8"/>
        <v>435000</v>
      </c>
      <c r="O102" s="5">
        <f t="shared" si="9"/>
        <v>0</v>
      </c>
      <c r="P102" s="8">
        <f t="shared" si="10"/>
        <v>435000</v>
      </c>
      <c r="Q102" s="8">
        <f>P102-VLOOKUP(MID(A102,5,1),Referensi!$A$1:$C$6,3,FALSE)</f>
        <v>425000</v>
      </c>
      <c r="R102" s="8">
        <f t="shared" si="11"/>
        <v>239000</v>
      </c>
    </row>
    <row r="103" spans="1:18" x14ac:dyDescent="0.2">
      <c r="A103" t="s">
        <v>159</v>
      </c>
      <c r="B103" s="1">
        <v>45373</v>
      </c>
      <c r="C103" s="2" t="s">
        <v>12</v>
      </c>
      <c r="D103" s="2" t="s">
        <v>33</v>
      </c>
      <c r="E103" s="7" t="s">
        <v>386</v>
      </c>
      <c r="F103" s="2" t="s">
        <v>14</v>
      </c>
      <c r="G103" s="2" t="s">
        <v>15</v>
      </c>
      <c r="H103" s="2">
        <v>33</v>
      </c>
      <c r="I103" s="3">
        <v>2290000</v>
      </c>
      <c r="J103" s="3">
        <v>1290000</v>
      </c>
      <c r="K103" s="3" t="str">
        <f t="shared" si="6"/>
        <v>Citra Dewi</v>
      </c>
      <c r="L103" s="2" t="str">
        <f>VLOOKUP(MID(A103,5,1),Referensi!$A$1:$C$6,2,FALSE)</f>
        <v>Kartu Debit</v>
      </c>
      <c r="M103" s="2" t="str">
        <f t="shared" si="7"/>
        <v>Baru</v>
      </c>
      <c r="N103" s="8">
        <f t="shared" si="8"/>
        <v>75570000</v>
      </c>
      <c r="O103" s="5">
        <f t="shared" si="9"/>
        <v>0.2</v>
      </c>
      <c r="P103" s="8">
        <f t="shared" si="10"/>
        <v>60456000</v>
      </c>
      <c r="Q103" s="8">
        <f>P103-VLOOKUP(MID(A103,5,1),Referensi!$A$1:$C$6,3,FALSE)</f>
        <v>60449500</v>
      </c>
      <c r="R103" s="8">
        <f t="shared" si="11"/>
        <v>17879500</v>
      </c>
    </row>
    <row r="104" spans="1:18" x14ac:dyDescent="0.2">
      <c r="A104" t="s">
        <v>160</v>
      </c>
      <c r="B104" s="1">
        <v>45373</v>
      </c>
      <c r="C104" s="2" t="s">
        <v>22</v>
      </c>
      <c r="D104" s="2" t="s">
        <v>29</v>
      </c>
      <c r="E104" s="7" t="s">
        <v>387</v>
      </c>
      <c r="F104" s="2" t="s">
        <v>14</v>
      </c>
      <c r="G104" s="2" t="s">
        <v>39</v>
      </c>
      <c r="H104" s="2">
        <v>33</v>
      </c>
      <c r="I104" s="3">
        <v>1190000</v>
      </c>
      <c r="J104" s="3">
        <v>630000</v>
      </c>
      <c r="K104" s="3" t="str">
        <f t="shared" si="6"/>
        <v>Eko Prasetyo</v>
      </c>
      <c r="L104" s="2" t="str">
        <f>VLOOKUP(MID(A104,5,1),Referensi!$A$1:$C$6,2,FALSE)</f>
        <v>QRIS</v>
      </c>
      <c r="M104" s="2" t="str">
        <f t="shared" si="7"/>
        <v>Lama</v>
      </c>
      <c r="N104" s="8">
        <f t="shared" si="8"/>
        <v>39270000</v>
      </c>
      <c r="O104" s="5">
        <f t="shared" si="9"/>
        <v>0</v>
      </c>
      <c r="P104" s="8">
        <f t="shared" si="10"/>
        <v>39270000</v>
      </c>
      <c r="Q104" s="8">
        <f>P104-VLOOKUP(MID(A104,5,1),Referensi!$A$1:$C$6,3,FALSE)</f>
        <v>39269000</v>
      </c>
      <c r="R104" s="8">
        <f t="shared" si="11"/>
        <v>18479000</v>
      </c>
    </row>
    <row r="105" spans="1:18" x14ac:dyDescent="0.2">
      <c r="A105" t="s">
        <v>161</v>
      </c>
      <c r="B105" s="1">
        <v>45375</v>
      </c>
      <c r="C105" s="2" t="s">
        <v>22</v>
      </c>
      <c r="D105" s="2" t="s">
        <v>29</v>
      </c>
      <c r="E105" s="7" t="s">
        <v>388</v>
      </c>
      <c r="F105" s="2" t="s">
        <v>14</v>
      </c>
      <c r="G105" s="2" t="s">
        <v>39</v>
      </c>
      <c r="H105" s="2">
        <v>25</v>
      </c>
      <c r="I105" s="3">
        <v>1190000</v>
      </c>
      <c r="J105" s="3">
        <v>630000</v>
      </c>
      <c r="K105" s="3" t="str">
        <f t="shared" si="6"/>
        <v>Fitri Handayani</v>
      </c>
      <c r="L105" s="2" t="str">
        <f>VLOOKUP(MID(A105,5,1),Referensi!$A$1:$C$6,2,FALSE)</f>
        <v>QRIS</v>
      </c>
      <c r="M105" s="2" t="str">
        <f t="shared" si="7"/>
        <v>Lama</v>
      </c>
      <c r="N105" s="8">
        <f t="shared" si="8"/>
        <v>29750000</v>
      </c>
      <c r="O105" s="5">
        <f t="shared" si="9"/>
        <v>0</v>
      </c>
      <c r="P105" s="8">
        <f t="shared" si="10"/>
        <v>29750000</v>
      </c>
      <c r="Q105" s="8">
        <f>P105-VLOOKUP(MID(A105,5,1),Referensi!$A$1:$C$6,3,FALSE)</f>
        <v>29749000</v>
      </c>
      <c r="R105" s="8">
        <f t="shared" si="11"/>
        <v>13999000</v>
      </c>
    </row>
    <row r="106" spans="1:18" x14ac:dyDescent="0.2">
      <c r="A106" t="s">
        <v>162</v>
      </c>
      <c r="B106" s="1">
        <v>45375</v>
      </c>
      <c r="C106" s="2" t="s">
        <v>25</v>
      </c>
      <c r="D106" s="2" t="s">
        <v>26</v>
      </c>
      <c r="E106" s="7" t="s">
        <v>389</v>
      </c>
      <c r="F106" s="2" t="s">
        <v>27</v>
      </c>
      <c r="G106" s="2" t="s">
        <v>43</v>
      </c>
      <c r="H106" s="2">
        <v>39</v>
      </c>
      <c r="I106" s="3">
        <v>87000</v>
      </c>
      <c r="J106" s="3">
        <v>37000</v>
      </c>
      <c r="K106" s="3" t="str">
        <f t="shared" si="6"/>
        <v>Hesti Wulandari</v>
      </c>
      <c r="L106" s="2" t="str">
        <f>VLOOKUP(MID(A106,5,1),Referensi!$A$1:$C$6,2,FALSE)</f>
        <v>Transfer Bank</v>
      </c>
      <c r="M106" s="2" t="str">
        <f t="shared" si="7"/>
        <v>Baru</v>
      </c>
      <c r="N106" s="8">
        <f t="shared" si="8"/>
        <v>3393000</v>
      </c>
      <c r="O106" s="5">
        <f t="shared" si="9"/>
        <v>0</v>
      </c>
      <c r="P106" s="8">
        <f t="shared" si="10"/>
        <v>3393000</v>
      </c>
      <c r="Q106" s="8">
        <f>P106-VLOOKUP(MID(A106,5,1),Referensi!$A$1:$C$6,3,FALSE)</f>
        <v>3390500</v>
      </c>
      <c r="R106" s="8">
        <f t="shared" si="11"/>
        <v>1947500</v>
      </c>
    </row>
    <row r="107" spans="1:18" x14ac:dyDescent="0.2">
      <c r="A107" t="s">
        <v>163</v>
      </c>
      <c r="B107" s="1">
        <v>45376</v>
      </c>
      <c r="C107" s="2" t="s">
        <v>18</v>
      </c>
      <c r="D107" s="2" t="s">
        <v>19</v>
      </c>
      <c r="E107" s="7" t="s">
        <v>390</v>
      </c>
      <c r="F107" s="2" t="s">
        <v>20</v>
      </c>
      <c r="G107" s="2" t="s">
        <v>42</v>
      </c>
      <c r="H107" s="2">
        <v>38</v>
      </c>
      <c r="I107" s="3">
        <v>60000</v>
      </c>
      <c r="J107" s="3">
        <v>25000</v>
      </c>
      <c r="K107" s="3" t="str">
        <f t="shared" si="6"/>
        <v>Eko Prasetyo</v>
      </c>
      <c r="L107" s="2" t="str">
        <f>VLOOKUP(MID(A107,5,1),Referensi!$A$1:$C$6,2,FALSE)</f>
        <v>Tunai</v>
      </c>
      <c r="M107" s="2" t="str">
        <f t="shared" si="7"/>
        <v>Baru</v>
      </c>
      <c r="N107" s="8">
        <f t="shared" si="8"/>
        <v>2280000</v>
      </c>
      <c r="O107" s="5">
        <f t="shared" si="9"/>
        <v>0</v>
      </c>
      <c r="P107" s="8">
        <f t="shared" si="10"/>
        <v>2280000</v>
      </c>
      <c r="Q107" s="8">
        <f>P107-VLOOKUP(MID(A107,5,1),Referensi!$A$1:$C$6,3,FALSE)</f>
        <v>2280000</v>
      </c>
      <c r="R107" s="8">
        <f t="shared" si="11"/>
        <v>1330000</v>
      </c>
    </row>
    <row r="108" spans="1:18" x14ac:dyDescent="0.2">
      <c r="A108" t="s">
        <v>164</v>
      </c>
      <c r="B108" s="1">
        <v>45376</v>
      </c>
      <c r="C108" s="2" t="s">
        <v>25</v>
      </c>
      <c r="D108" s="2" t="s">
        <v>26</v>
      </c>
      <c r="E108" s="7" t="s">
        <v>391</v>
      </c>
      <c r="F108" s="2" t="s">
        <v>16</v>
      </c>
      <c r="G108" s="2" t="s">
        <v>44</v>
      </c>
      <c r="H108" s="2">
        <v>40</v>
      </c>
      <c r="I108" s="3">
        <v>320000</v>
      </c>
      <c r="J108" s="3">
        <v>160000</v>
      </c>
      <c r="K108" s="3" t="str">
        <f t="shared" si="6"/>
        <v>Hesti Wulandari</v>
      </c>
      <c r="L108" s="2" t="str">
        <f>VLOOKUP(MID(A108,5,1),Referensi!$A$1:$C$6,2,FALSE)</f>
        <v>Kartu Kredit</v>
      </c>
      <c r="M108" s="2" t="str">
        <f t="shared" si="7"/>
        <v>Baru</v>
      </c>
      <c r="N108" s="8">
        <f t="shared" si="8"/>
        <v>12800000</v>
      </c>
      <c r="O108" s="5">
        <f t="shared" si="9"/>
        <v>0</v>
      </c>
      <c r="P108" s="8">
        <f t="shared" si="10"/>
        <v>12800000</v>
      </c>
      <c r="Q108" s="8">
        <f>P108-VLOOKUP(MID(A108,5,1),Referensi!$A$1:$C$6,3,FALSE)</f>
        <v>12790000</v>
      </c>
      <c r="R108" s="8">
        <f t="shared" si="11"/>
        <v>6390000</v>
      </c>
    </row>
    <row r="109" spans="1:18" x14ac:dyDescent="0.2">
      <c r="A109" t="s">
        <v>165</v>
      </c>
      <c r="B109" s="1">
        <v>45377</v>
      </c>
      <c r="C109" s="2" t="s">
        <v>22</v>
      </c>
      <c r="D109" s="2" t="s">
        <v>29</v>
      </c>
      <c r="E109" s="7" t="s">
        <v>289</v>
      </c>
      <c r="F109" s="2" t="s">
        <v>27</v>
      </c>
      <c r="G109" s="2" t="s">
        <v>30</v>
      </c>
      <c r="H109" s="2">
        <v>36</v>
      </c>
      <c r="I109" s="3">
        <v>110000</v>
      </c>
      <c r="J109" s="3">
        <v>46000</v>
      </c>
      <c r="K109" s="3" t="str">
        <f t="shared" si="6"/>
        <v>Citra Dewi</v>
      </c>
      <c r="L109" s="2" t="str">
        <f>VLOOKUP(MID(A109,5,1),Referensi!$A$1:$C$6,2,FALSE)</f>
        <v>Transfer Bank</v>
      </c>
      <c r="M109" s="2" t="str">
        <f t="shared" si="7"/>
        <v>Lama</v>
      </c>
      <c r="N109" s="8">
        <f t="shared" si="8"/>
        <v>3960000</v>
      </c>
      <c r="O109" s="5">
        <f t="shared" si="9"/>
        <v>0</v>
      </c>
      <c r="P109" s="8">
        <f t="shared" si="10"/>
        <v>3960000</v>
      </c>
      <c r="Q109" s="8">
        <f>P109-VLOOKUP(MID(A109,5,1),Referensi!$A$1:$C$6,3,FALSE)</f>
        <v>3957500</v>
      </c>
      <c r="R109" s="8">
        <f t="shared" si="11"/>
        <v>2301500</v>
      </c>
    </row>
    <row r="110" spans="1:18" x14ac:dyDescent="0.2">
      <c r="A110" t="s">
        <v>166</v>
      </c>
      <c r="B110" s="1">
        <v>45377</v>
      </c>
      <c r="C110" s="2" t="s">
        <v>12</v>
      </c>
      <c r="D110" s="2" t="s">
        <v>13</v>
      </c>
      <c r="E110" s="7" t="s">
        <v>392</v>
      </c>
      <c r="F110" s="2" t="s">
        <v>16</v>
      </c>
      <c r="G110" s="2" t="s">
        <v>24</v>
      </c>
      <c r="H110" s="2">
        <v>15</v>
      </c>
      <c r="I110" s="3">
        <v>370000</v>
      </c>
      <c r="J110" s="3">
        <v>195000</v>
      </c>
      <c r="K110" s="3" t="str">
        <f t="shared" si="6"/>
        <v>Citra Dewi</v>
      </c>
      <c r="L110" s="2" t="str">
        <f>VLOOKUP(MID(A110,5,1),Referensi!$A$1:$C$6,2,FALSE)</f>
        <v>Kartu Debit</v>
      </c>
      <c r="M110" s="2" t="str">
        <f t="shared" si="7"/>
        <v>Lama</v>
      </c>
      <c r="N110" s="8">
        <f t="shared" si="8"/>
        <v>5550000</v>
      </c>
      <c r="O110" s="5">
        <f t="shared" si="9"/>
        <v>0</v>
      </c>
      <c r="P110" s="8">
        <f t="shared" si="10"/>
        <v>5550000</v>
      </c>
      <c r="Q110" s="8">
        <f>P110-VLOOKUP(MID(A110,5,1),Referensi!$A$1:$C$6,3,FALSE)</f>
        <v>5543500</v>
      </c>
      <c r="R110" s="8">
        <f t="shared" si="11"/>
        <v>2618500</v>
      </c>
    </row>
    <row r="111" spans="1:18" x14ac:dyDescent="0.2">
      <c r="A111" t="s">
        <v>167</v>
      </c>
      <c r="B111" s="1">
        <v>45377</v>
      </c>
      <c r="C111" s="2" t="s">
        <v>12</v>
      </c>
      <c r="D111" s="2" t="s">
        <v>13</v>
      </c>
      <c r="E111" s="7" t="s">
        <v>393</v>
      </c>
      <c r="F111" s="2" t="s">
        <v>14</v>
      </c>
      <c r="G111" s="2" t="s">
        <v>39</v>
      </c>
      <c r="H111" s="2">
        <v>27</v>
      </c>
      <c r="I111" s="3">
        <v>1190000</v>
      </c>
      <c r="J111" s="3">
        <v>630000</v>
      </c>
      <c r="K111" s="3" t="str">
        <f t="shared" si="6"/>
        <v>Citra Dewi</v>
      </c>
      <c r="L111" s="2" t="str">
        <f>VLOOKUP(MID(A111,5,1),Referensi!$A$1:$C$6,2,FALSE)</f>
        <v>QRIS</v>
      </c>
      <c r="M111" s="2" t="str">
        <f t="shared" si="7"/>
        <v>Lama</v>
      </c>
      <c r="N111" s="8">
        <f t="shared" si="8"/>
        <v>32130000</v>
      </c>
      <c r="O111" s="5">
        <f t="shared" si="9"/>
        <v>0</v>
      </c>
      <c r="P111" s="8">
        <f t="shared" si="10"/>
        <v>32130000</v>
      </c>
      <c r="Q111" s="8">
        <f>P111-VLOOKUP(MID(A111,5,1),Referensi!$A$1:$C$6,3,FALSE)</f>
        <v>32129000</v>
      </c>
      <c r="R111" s="8">
        <f t="shared" si="11"/>
        <v>15119000</v>
      </c>
    </row>
    <row r="112" spans="1:18" x14ac:dyDescent="0.2">
      <c r="A112" t="s">
        <v>168</v>
      </c>
      <c r="B112" s="1">
        <v>45378</v>
      </c>
      <c r="C112" s="2" t="s">
        <v>12</v>
      </c>
      <c r="D112" s="2" t="s">
        <v>13</v>
      </c>
      <c r="E112" s="7" t="s">
        <v>394</v>
      </c>
      <c r="F112" s="2" t="s">
        <v>16</v>
      </c>
      <c r="G112" s="2" t="s">
        <v>24</v>
      </c>
      <c r="H112" s="2">
        <v>37</v>
      </c>
      <c r="I112" s="3">
        <v>370000</v>
      </c>
      <c r="J112" s="3">
        <v>195000</v>
      </c>
      <c r="K112" s="3" t="str">
        <f t="shared" si="6"/>
        <v>Citra Dewi</v>
      </c>
      <c r="L112" s="2" t="str">
        <f>VLOOKUP(MID(A112,5,1),Referensi!$A$1:$C$6,2,FALSE)</f>
        <v>Kartu Debit</v>
      </c>
      <c r="M112" s="2" t="str">
        <f t="shared" si="7"/>
        <v>Lama</v>
      </c>
      <c r="N112" s="8">
        <f t="shared" si="8"/>
        <v>13690000</v>
      </c>
      <c r="O112" s="5">
        <f t="shared" si="9"/>
        <v>0</v>
      </c>
      <c r="P112" s="8">
        <f t="shared" si="10"/>
        <v>13690000</v>
      </c>
      <c r="Q112" s="8">
        <f>P112-VLOOKUP(MID(A112,5,1),Referensi!$A$1:$C$6,3,FALSE)</f>
        <v>13683500</v>
      </c>
      <c r="R112" s="8">
        <f t="shared" si="11"/>
        <v>6468500</v>
      </c>
    </row>
    <row r="113" spans="1:18" x14ac:dyDescent="0.2">
      <c r="A113" t="s">
        <v>169</v>
      </c>
      <c r="B113" s="1">
        <v>45382</v>
      </c>
      <c r="C113" s="2" t="s">
        <v>25</v>
      </c>
      <c r="D113" s="2" t="s">
        <v>26</v>
      </c>
      <c r="E113" s="7" t="s">
        <v>395</v>
      </c>
      <c r="F113" s="2" t="s">
        <v>16</v>
      </c>
      <c r="G113" s="2" t="s">
        <v>44</v>
      </c>
      <c r="H113" s="2">
        <v>7</v>
      </c>
      <c r="I113" s="3">
        <v>320000</v>
      </c>
      <c r="J113" s="3">
        <v>160000</v>
      </c>
      <c r="K113" s="3" t="str">
        <f t="shared" si="6"/>
        <v>Hesti Wulandari</v>
      </c>
      <c r="L113" s="2" t="str">
        <f>VLOOKUP(MID(A113,5,1),Referensi!$A$1:$C$6,2,FALSE)</f>
        <v>Kartu Kredit</v>
      </c>
      <c r="M113" s="2" t="str">
        <f t="shared" si="7"/>
        <v>Lama</v>
      </c>
      <c r="N113" s="8">
        <f t="shared" si="8"/>
        <v>2240000</v>
      </c>
      <c r="O113" s="5">
        <f t="shared" si="9"/>
        <v>0</v>
      </c>
      <c r="P113" s="8">
        <f t="shared" si="10"/>
        <v>2240000</v>
      </c>
      <c r="Q113" s="8">
        <f>P113-VLOOKUP(MID(A113,5,1),Referensi!$A$1:$C$6,3,FALSE)</f>
        <v>2230000</v>
      </c>
      <c r="R113" s="8">
        <f t="shared" si="11"/>
        <v>1110000</v>
      </c>
    </row>
    <row r="114" spans="1:18" x14ac:dyDescent="0.2">
      <c r="A114" t="s">
        <v>170</v>
      </c>
      <c r="B114" s="1">
        <v>45382</v>
      </c>
      <c r="C114" s="2" t="s">
        <v>25</v>
      </c>
      <c r="D114" s="2" t="s">
        <v>37</v>
      </c>
      <c r="E114" s="7" t="s">
        <v>396</v>
      </c>
      <c r="F114" s="2" t="s">
        <v>20</v>
      </c>
      <c r="G114" s="2" t="s">
        <v>42</v>
      </c>
      <c r="H114" s="2">
        <v>12</v>
      </c>
      <c r="I114" s="3">
        <v>60000</v>
      </c>
      <c r="J114" s="3">
        <v>25000</v>
      </c>
      <c r="K114" s="3" t="str">
        <f t="shared" si="6"/>
        <v>Dewi Lestari</v>
      </c>
      <c r="L114" s="2" t="str">
        <f>VLOOKUP(MID(A114,5,1),Referensi!$A$1:$C$6,2,FALSE)</f>
        <v>Kartu Kredit</v>
      </c>
      <c r="M114" s="2" t="str">
        <f t="shared" si="7"/>
        <v>Baru</v>
      </c>
      <c r="N114" s="8">
        <f t="shared" si="8"/>
        <v>720000</v>
      </c>
      <c r="O114" s="5">
        <f t="shared" si="9"/>
        <v>0</v>
      </c>
      <c r="P114" s="8">
        <f t="shared" si="10"/>
        <v>720000</v>
      </c>
      <c r="Q114" s="8">
        <f>P114-VLOOKUP(MID(A114,5,1),Referensi!$A$1:$C$6,3,FALSE)</f>
        <v>710000</v>
      </c>
      <c r="R114" s="8">
        <f t="shared" si="11"/>
        <v>410000</v>
      </c>
    </row>
    <row r="115" spans="1:18" x14ac:dyDescent="0.2">
      <c r="A115" t="s">
        <v>171</v>
      </c>
      <c r="B115" s="1">
        <v>45383</v>
      </c>
      <c r="C115" s="2" t="s">
        <v>18</v>
      </c>
      <c r="D115" s="2" t="s">
        <v>31</v>
      </c>
      <c r="E115" s="7" t="s">
        <v>397</v>
      </c>
      <c r="F115" s="2" t="s">
        <v>16</v>
      </c>
      <c r="G115" s="2" t="s">
        <v>36</v>
      </c>
      <c r="H115" s="2">
        <v>38</v>
      </c>
      <c r="I115" s="3">
        <v>280000</v>
      </c>
      <c r="J115" s="3">
        <v>130000</v>
      </c>
      <c r="K115" s="3" t="str">
        <f t="shared" si="6"/>
        <v>Dewi Lestari</v>
      </c>
      <c r="L115" s="2" t="str">
        <f>VLOOKUP(MID(A115,5,1),Referensi!$A$1:$C$6,2,FALSE)</f>
        <v>Kartu Debit</v>
      </c>
      <c r="M115" s="2" t="str">
        <f t="shared" si="7"/>
        <v>Lama</v>
      </c>
      <c r="N115" s="8">
        <f t="shared" si="8"/>
        <v>10640000</v>
      </c>
      <c r="O115" s="5">
        <f t="shared" si="9"/>
        <v>0</v>
      </c>
      <c r="P115" s="8">
        <f t="shared" si="10"/>
        <v>10640000</v>
      </c>
      <c r="Q115" s="8">
        <f>P115-VLOOKUP(MID(A115,5,1),Referensi!$A$1:$C$6,3,FALSE)</f>
        <v>10633500</v>
      </c>
      <c r="R115" s="8">
        <f t="shared" si="11"/>
        <v>5693500</v>
      </c>
    </row>
    <row r="116" spans="1:18" x14ac:dyDescent="0.2">
      <c r="A116" t="s">
        <v>172</v>
      </c>
      <c r="B116" s="1">
        <v>45383</v>
      </c>
      <c r="C116" s="2" t="s">
        <v>18</v>
      </c>
      <c r="D116" s="2" t="s">
        <v>40</v>
      </c>
      <c r="E116" s="7" t="s">
        <v>398</v>
      </c>
      <c r="F116" s="2" t="s">
        <v>20</v>
      </c>
      <c r="G116" s="2" t="s">
        <v>21</v>
      </c>
      <c r="H116" s="2">
        <v>8</v>
      </c>
      <c r="I116" s="3">
        <v>145000</v>
      </c>
      <c r="J116" s="3">
        <v>62000</v>
      </c>
      <c r="K116" s="3" t="str">
        <f t="shared" si="6"/>
        <v>Fitri Handayani</v>
      </c>
      <c r="L116" s="2" t="str">
        <f>VLOOKUP(MID(A116,5,1),Referensi!$A$1:$C$6,2,FALSE)</f>
        <v>QRIS</v>
      </c>
      <c r="M116" s="2" t="str">
        <f t="shared" si="7"/>
        <v>Baru</v>
      </c>
      <c r="N116" s="8">
        <f t="shared" si="8"/>
        <v>1160000</v>
      </c>
      <c r="O116" s="5">
        <f t="shared" si="9"/>
        <v>0</v>
      </c>
      <c r="P116" s="8">
        <f t="shared" si="10"/>
        <v>1160000</v>
      </c>
      <c r="Q116" s="8">
        <f>P116-VLOOKUP(MID(A116,5,1),Referensi!$A$1:$C$6,3,FALSE)</f>
        <v>1159000</v>
      </c>
      <c r="R116" s="8">
        <f t="shared" si="11"/>
        <v>663000</v>
      </c>
    </row>
    <row r="117" spans="1:18" x14ac:dyDescent="0.2">
      <c r="A117" t="s">
        <v>173</v>
      </c>
      <c r="B117" s="1">
        <v>45384</v>
      </c>
      <c r="C117" s="2" t="s">
        <v>25</v>
      </c>
      <c r="D117" s="2" t="s">
        <v>37</v>
      </c>
      <c r="E117" s="7" t="s">
        <v>399</v>
      </c>
      <c r="F117" s="2" t="s">
        <v>27</v>
      </c>
      <c r="G117" s="2" t="s">
        <v>30</v>
      </c>
      <c r="H117" s="2">
        <v>24</v>
      </c>
      <c r="I117" s="3">
        <v>110000</v>
      </c>
      <c r="J117" s="3">
        <v>46000</v>
      </c>
      <c r="K117" s="3" t="str">
        <f t="shared" si="6"/>
        <v>Citra Dewi</v>
      </c>
      <c r="L117" s="2" t="str">
        <f>VLOOKUP(MID(A117,5,1),Referensi!$A$1:$C$6,2,FALSE)</f>
        <v>Transfer Bank</v>
      </c>
      <c r="M117" s="2" t="str">
        <f t="shared" si="7"/>
        <v>Lama</v>
      </c>
      <c r="N117" s="8">
        <f t="shared" si="8"/>
        <v>2640000</v>
      </c>
      <c r="O117" s="5">
        <f t="shared" si="9"/>
        <v>0</v>
      </c>
      <c r="P117" s="8">
        <f t="shared" si="10"/>
        <v>2640000</v>
      </c>
      <c r="Q117" s="8">
        <f>P117-VLOOKUP(MID(A117,5,1),Referensi!$A$1:$C$6,3,FALSE)</f>
        <v>2637500</v>
      </c>
      <c r="R117" s="8">
        <f t="shared" si="11"/>
        <v>1533500</v>
      </c>
    </row>
    <row r="118" spans="1:18" x14ac:dyDescent="0.2">
      <c r="A118" t="s">
        <v>174</v>
      </c>
      <c r="B118" s="1">
        <v>45384</v>
      </c>
      <c r="C118" s="2" t="s">
        <v>22</v>
      </c>
      <c r="D118" s="2" t="s">
        <v>23</v>
      </c>
      <c r="E118" s="7" t="s">
        <v>400</v>
      </c>
      <c r="F118" s="2" t="s">
        <v>16</v>
      </c>
      <c r="G118" s="2" t="s">
        <v>24</v>
      </c>
      <c r="H118" s="2">
        <v>16</v>
      </c>
      <c r="I118" s="3">
        <v>370000</v>
      </c>
      <c r="J118" s="3">
        <v>195000</v>
      </c>
      <c r="K118" s="3" t="str">
        <f t="shared" si="6"/>
        <v>Dewi Lestari</v>
      </c>
      <c r="L118" s="2" t="str">
        <f>VLOOKUP(MID(A118,5,1),Referensi!$A$1:$C$6,2,FALSE)</f>
        <v>Kartu Kredit</v>
      </c>
      <c r="M118" s="2" t="str">
        <f t="shared" si="7"/>
        <v>Lama</v>
      </c>
      <c r="N118" s="8">
        <f t="shared" si="8"/>
        <v>5920000</v>
      </c>
      <c r="O118" s="5">
        <f t="shared" si="9"/>
        <v>0</v>
      </c>
      <c r="P118" s="8">
        <f t="shared" si="10"/>
        <v>5920000</v>
      </c>
      <c r="Q118" s="8">
        <f>P118-VLOOKUP(MID(A118,5,1),Referensi!$A$1:$C$6,3,FALSE)</f>
        <v>5910000</v>
      </c>
      <c r="R118" s="8">
        <f t="shared" si="11"/>
        <v>2790000</v>
      </c>
    </row>
    <row r="119" spans="1:18" x14ac:dyDescent="0.2">
      <c r="A119" t="s">
        <v>175</v>
      </c>
      <c r="B119" s="1">
        <v>45385</v>
      </c>
      <c r="C119" s="2" t="s">
        <v>25</v>
      </c>
      <c r="D119" s="2" t="s">
        <v>37</v>
      </c>
      <c r="E119" s="7" t="s">
        <v>401</v>
      </c>
      <c r="F119" s="2" t="s">
        <v>14</v>
      </c>
      <c r="G119" s="2" t="s">
        <v>39</v>
      </c>
      <c r="H119" s="2">
        <v>8</v>
      </c>
      <c r="I119" s="3">
        <v>1190000</v>
      </c>
      <c r="J119" s="3">
        <v>630000</v>
      </c>
      <c r="K119" s="3" t="str">
        <f t="shared" si="6"/>
        <v>Fitri Handayani</v>
      </c>
      <c r="L119" s="2" t="str">
        <f>VLOOKUP(MID(A119,5,1),Referensi!$A$1:$C$6,2,FALSE)</f>
        <v>Tunai</v>
      </c>
      <c r="M119" s="2" t="str">
        <f t="shared" si="7"/>
        <v>Lama</v>
      </c>
      <c r="N119" s="8">
        <f t="shared" si="8"/>
        <v>9520000</v>
      </c>
      <c r="O119" s="5">
        <f t="shared" si="9"/>
        <v>0</v>
      </c>
      <c r="P119" s="8">
        <f t="shared" si="10"/>
        <v>9520000</v>
      </c>
      <c r="Q119" s="8">
        <f>P119-VLOOKUP(MID(A119,5,1),Referensi!$A$1:$C$6,3,FALSE)</f>
        <v>9520000</v>
      </c>
      <c r="R119" s="8">
        <f t="shared" si="11"/>
        <v>4480000</v>
      </c>
    </row>
    <row r="120" spans="1:18" x14ac:dyDescent="0.2">
      <c r="A120" t="s">
        <v>176</v>
      </c>
      <c r="B120" s="1">
        <v>45385</v>
      </c>
      <c r="C120" s="2" t="s">
        <v>18</v>
      </c>
      <c r="D120" s="2" t="s">
        <v>31</v>
      </c>
      <c r="E120" s="7" t="s">
        <v>402</v>
      </c>
      <c r="F120" s="2" t="s">
        <v>20</v>
      </c>
      <c r="G120" s="2" t="s">
        <v>38</v>
      </c>
      <c r="H120" s="2">
        <v>24</v>
      </c>
      <c r="I120" s="3">
        <v>48000</v>
      </c>
      <c r="J120" s="3">
        <v>19000</v>
      </c>
      <c r="K120" s="3" t="str">
        <f t="shared" si="6"/>
        <v>Andi Saputra</v>
      </c>
      <c r="L120" s="2" t="str">
        <f>VLOOKUP(MID(A120,5,1),Referensi!$A$1:$C$6,2,FALSE)</f>
        <v>QRIS</v>
      </c>
      <c r="M120" s="2" t="str">
        <f t="shared" si="7"/>
        <v>Baru</v>
      </c>
      <c r="N120" s="8">
        <f t="shared" si="8"/>
        <v>1152000</v>
      </c>
      <c r="O120" s="5">
        <f t="shared" si="9"/>
        <v>0</v>
      </c>
      <c r="P120" s="8">
        <f t="shared" si="10"/>
        <v>1152000</v>
      </c>
      <c r="Q120" s="8">
        <f>P120-VLOOKUP(MID(A120,5,1),Referensi!$A$1:$C$6,3,FALSE)</f>
        <v>1151000</v>
      </c>
      <c r="R120" s="8">
        <f t="shared" si="11"/>
        <v>695000</v>
      </c>
    </row>
    <row r="121" spans="1:18" x14ac:dyDescent="0.2">
      <c r="A121" t="s">
        <v>177</v>
      </c>
      <c r="B121" s="1">
        <v>45386</v>
      </c>
      <c r="C121" s="2" t="s">
        <v>25</v>
      </c>
      <c r="D121" s="2" t="s">
        <v>26</v>
      </c>
      <c r="E121" s="7" t="s">
        <v>403</v>
      </c>
      <c r="F121" s="2" t="s">
        <v>14</v>
      </c>
      <c r="G121" s="2" t="s">
        <v>34</v>
      </c>
      <c r="H121" s="2">
        <v>33</v>
      </c>
      <c r="I121" s="3">
        <v>820000</v>
      </c>
      <c r="J121" s="3">
        <v>415000</v>
      </c>
      <c r="K121" s="3" t="str">
        <f t="shared" si="6"/>
        <v>Eko Prasetyo</v>
      </c>
      <c r="L121" s="2" t="str">
        <f>VLOOKUP(MID(A121,5,1),Referensi!$A$1:$C$6,2,FALSE)</f>
        <v>Kartu Debit</v>
      </c>
      <c r="M121" s="2" t="str">
        <f t="shared" si="7"/>
        <v>Lama</v>
      </c>
      <c r="N121" s="8">
        <f t="shared" si="8"/>
        <v>27060000</v>
      </c>
      <c r="O121" s="5">
        <f t="shared" si="9"/>
        <v>0</v>
      </c>
      <c r="P121" s="8">
        <f t="shared" si="10"/>
        <v>27060000</v>
      </c>
      <c r="Q121" s="8">
        <f>P121-VLOOKUP(MID(A121,5,1),Referensi!$A$1:$C$6,3,FALSE)</f>
        <v>27053500</v>
      </c>
      <c r="R121" s="8">
        <f t="shared" si="11"/>
        <v>13358500</v>
      </c>
    </row>
    <row r="122" spans="1:18" x14ac:dyDescent="0.2">
      <c r="A122" t="s">
        <v>178</v>
      </c>
      <c r="B122" s="1">
        <v>45388</v>
      </c>
      <c r="C122" s="2" t="s">
        <v>18</v>
      </c>
      <c r="D122" s="2" t="s">
        <v>40</v>
      </c>
      <c r="E122" s="7" t="s">
        <v>404</v>
      </c>
      <c r="F122" s="2" t="s">
        <v>14</v>
      </c>
      <c r="G122" s="2" t="s">
        <v>15</v>
      </c>
      <c r="H122" s="2">
        <v>37</v>
      </c>
      <c r="I122" s="3">
        <v>2290000</v>
      </c>
      <c r="J122" s="3">
        <v>1290000</v>
      </c>
      <c r="K122" s="3" t="str">
        <f t="shared" si="6"/>
        <v>Eko Prasetyo</v>
      </c>
      <c r="L122" s="2" t="str">
        <f>VLOOKUP(MID(A122,5,1),Referensi!$A$1:$C$6,2,FALSE)</f>
        <v>Transfer Bank</v>
      </c>
      <c r="M122" s="2" t="str">
        <f t="shared" si="7"/>
        <v>Lama</v>
      </c>
      <c r="N122" s="8">
        <f t="shared" si="8"/>
        <v>84730000</v>
      </c>
      <c r="O122" s="5">
        <f t="shared" si="9"/>
        <v>0.15</v>
      </c>
      <c r="P122" s="8">
        <f t="shared" si="10"/>
        <v>72020500</v>
      </c>
      <c r="Q122" s="8">
        <f>P122-VLOOKUP(MID(A122,5,1),Referensi!$A$1:$C$6,3,FALSE)</f>
        <v>72018000</v>
      </c>
      <c r="R122" s="8">
        <f t="shared" si="11"/>
        <v>24288000</v>
      </c>
    </row>
    <row r="123" spans="1:18" x14ac:dyDescent="0.2">
      <c r="A123" t="s">
        <v>179</v>
      </c>
      <c r="B123" s="1">
        <v>45389</v>
      </c>
      <c r="C123" s="2" t="s">
        <v>18</v>
      </c>
      <c r="D123" s="2" t="s">
        <v>31</v>
      </c>
      <c r="E123" s="7" t="s">
        <v>405</v>
      </c>
      <c r="F123" s="2" t="s">
        <v>20</v>
      </c>
      <c r="G123" s="2" t="s">
        <v>21</v>
      </c>
      <c r="H123" s="2">
        <v>3</v>
      </c>
      <c r="I123" s="3">
        <v>145000</v>
      </c>
      <c r="J123" s="3">
        <v>62000</v>
      </c>
      <c r="K123" s="3" t="str">
        <f t="shared" si="6"/>
        <v>Fitri Handayani</v>
      </c>
      <c r="L123" s="2" t="str">
        <f>VLOOKUP(MID(A123,5,1),Referensi!$A$1:$C$6,2,FALSE)</f>
        <v>Transfer Bank</v>
      </c>
      <c r="M123" s="2" t="str">
        <f t="shared" si="7"/>
        <v>Lama</v>
      </c>
      <c r="N123" s="8">
        <f t="shared" si="8"/>
        <v>435000</v>
      </c>
      <c r="O123" s="5">
        <f t="shared" si="9"/>
        <v>0</v>
      </c>
      <c r="P123" s="8">
        <f t="shared" si="10"/>
        <v>435000</v>
      </c>
      <c r="Q123" s="8">
        <f>P123-VLOOKUP(MID(A123,5,1),Referensi!$A$1:$C$6,3,FALSE)</f>
        <v>432500</v>
      </c>
      <c r="R123" s="8">
        <f t="shared" si="11"/>
        <v>246500</v>
      </c>
    </row>
    <row r="124" spans="1:18" x14ac:dyDescent="0.2">
      <c r="A124" t="s">
        <v>180</v>
      </c>
      <c r="B124" s="1">
        <v>45389</v>
      </c>
      <c r="C124" s="2" t="s">
        <v>12</v>
      </c>
      <c r="D124" s="2" t="s">
        <v>33</v>
      </c>
      <c r="E124" s="7" t="s">
        <v>406</v>
      </c>
      <c r="F124" s="2" t="s">
        <v>16</v>
      </c>
      <c r="G124" s="2" t="s">
        <v>17</v>
      </c>
      <c r="H124" s="2">
        <v>26</v>
      </c>
      <c r="I124" s="3">
        <v>150000</v>
      </c>
      <c r="J124" s="3">
        <v>75000</v>
      </c>
      <c r="K124" s="3" t="str">
        <f t="shared" si="6"/>
        <v>Eko Prasetyo</v>
      </c>
      <c r="L124" s="2" t="str">
        <f>VLOOKUP(MID(A124,5,1),Referensi!$A$1:$C$6,2,FALSE)</f>
        <v>Transfer Bank</v>
      </c>
      <c r="M124" s="2" t="str">
        <f t="shared" si="7"/>
        <v>Baru</v>
      </c>
      <c r="N124" s="8">
        <f t="shared" si="8"/>
        <v>3900000</v>
      </c>
      <c r="O124" s="5">
        <f t="shared" si="9"/>
        <v>0</v>
      </c>
      <c r="P124" s="8">
        <f t="shared" si="10"/>
        <v>3900000</v>
      </c>
      <c r="Q124" s="8">
        <f>P124-VLOOKUP(MID(A124,5,1),Referensi!$A$1:$C$6,3,FALSE)</f>
        <v>3897500</v>
      </c>
      <c r="R124" s="8">
        <f t="shared" si="11"/>
        <v>1947500</v>
      </c>
    </row>
    <row r="125" spans="1:18" x14ac:dyDescent="0.2">
      <c r="A125" t="s">
        <v>181</v>
      </c>
      <c r="B125" s="1">
        <v>45389</v>
      </c>
      <c r="C125" s="2" t="s">
        <v>22</v>
      </c>
      <c r="D125" s="2" t="s">
        <v>29</v>
      </c>
      <c r="E125" s="7" t="s">
        <v>407</v>
      </c>
      <c r="F125" s="2" t="s">
        <v>14</v>
      </c>
      <c r="G125" s="2" t="s">
        <v>34</v>
      </c>
      <c r="H125" s="2">
        <v>3</v>
      </c>
      <c r="I125" s="3">
        <v>820000</v>
      </c>
      <c r="J125" s="3">
        <v>415000</v>
      </c>
      <c r="K125" s="3" t="str">
        <f t="shared" si="6"/>
        <v>Budi Santoso</v>
      </c>
      <c r="L125" s="2" t="str">
        <f>VLOOKUP(MID(A125,5,1),Referensi!$A$1:$C$6,2,FALSE)</f>
        <v>Transfer Bank</v>
      </c>
      <c r="M125" s="2" t="str">
        <f t="shared" si="7"/>
        <v>Baru</v>
      </c>
      <c r="N125" s="8">
        <f t="shared" si="8"/>
        <v>2460000</v>
      </c>
      <c r="O125" s="5">
        <f t="shared" si="9"/>
        <v>0</v>
      </c>
      <c r="P125" s="8">
        <f t="shared" si="10"/>
        <v>2460000</v>
      </c>
      <c r="Q125" s="8">
        <f>P125-VLOOKUP(MID(A125,5,1),Referensi!$A$1:$C$6,3,FALSE)</f>
        <v>2457500</v>
      </c>
      <c r="R125" s="8">
        <f t="shared" si="11"/>
        <v>1212500</v>
      </c>
    </row>
    <row r="126" spans="1:18" x14ac:dyDescent="0.2">
      <c r="A126" t="s">
        <v>182</v>
      </c>
      <c r="B126" s="1">
        <v>45391</v>
      </c>
      <c r="C126" s="2" t="s">
        <v>18</v>
      </c>
      <c r="D126" s="2" t="s">
        <v>40</v>
      </c>
      <c r="E126" s="7" t="s">
        <v>408</v>
      </c>
      <c r="F126" s="2" t="s">
        <v>27</v>
      </c>
      <c r="G126" s="2" t="s">
        <v>28</v>
      </c>
      <c r="H126" s="2">
        <v>1</v>
      </c>
      <c r="I126" s="3">
        <v>295000</v>
      </c>
      <c r="J126" s="3">
        <v>138000</v>
      </c>
      <c r="K126" s="3" t="str">
        <f t="shared" si="6"/>
        <v>Gilang Ramadhan</v>
      </c>
      <c r="L126" s="2" t="str">
        <f>VLOOKUP(MID(A126,5,1),Referensi!$A$1:$C$6,2,FALSE)</f>
        <v>QRIS</v>
      </c>
      <c r="M126" s="2" t="str">
        <f t="shared" si="7"/>
        <v>Baru</v>
      </c>
      <c r="N126" s="8">
        <f t="shared" si="8"/>
        <v>295000</v>
      </c>
      <c r="O126" s="5">
        <f t="shared" si="9"/>
        <v>0</v>
      </c>
      <c r="P126" s="8">
        <f t="shared" si="10"/>
        <v>295000</v>
      </c>
      <c r="Q126" s="8">
        <f>P126-VLOOKUP(MID(A126,5,1),Referensi!$A$1:$C$6,3,FALSE)</f>
        <v>294000</v>
      </c>
      <c r="R126" s="8">
        <f t="shared" si="11"/>
        <v>156000</v>
      </c>
    </row>
    <row r="127" spans="1:18" x14ac:dyDescent="0.2">
      <c r="A127" t="s">
        <v>183</v>
      </c>
      <c r="B127" s="1">
        <v>45393</v>
      </c>
      <c r="C127" s="2" t="s">
        <v>22</v>
      </c>
      <c r="D127" s="2" t="s">
        <v>23</v>
      </c>
      <c r="E127" s="7" t="s">
        <v>409</v>
      </c>
      <c r="F127" s="2" t="s">
        <v>16</v>
      </c>
      <c r="G127" s="2" t="s">
        <v>36</v>
      </c>
      <c r="H127" s="2">
        <v>20</v>
      </c>
      <c r="I127" s="3">
        <v>280000</v>
      </c>
      <c r="J127" s="3">
        <v>130000</v>
      </c>
      <c r="K127" s="3" t="str">
        <f t="shared" si="6"/>
        <v>Dewi Lestari</v>
      </c>
      <c r="L127" s="2" t="str">
        <f>VLOOKUP(MID(A127,5,1),Referensi!$A$1:$C$6,2,FALSE)</f>
        <v>Transfer Bank</v>
      </c>
      <c r="M127" s="2" t="str">
        <f t="shared" si="7"/>
        <v>Lama</v>
      </c>
      <c r="N127" s="8">
        <f t="shared" si="8"/>
        <v>5600000</v>
      </c>
      <c r="O127" s="5">
        <f t="shared" si="9"/>
        <v>0</v>
      </c>
      <c r="P127" s="8">
        <f t="shared" si="10"/>
        <v>5600000</v>
      </c>
      <c r="Q127" s="8">
        <f>P127-VLOOKUP(MID(A127,5,1),Referensi!$A$1:$C$6,3,FALSE)</f>
        <v>5597500</v>
      </c>
      <c r="R127" s="8">
        <f t="shared" si="11"/>
        <v>2997500</v>
      </c>
    </row>
    <row r="128" spans="1:18" x14ac:dyDescent="0.2">
      <c r="A128" t="s">
        <v>184</v>
      </c>
      <c r="B128" s="1">
        <v>45394</v>
      </c>
      <c r="C128" s="2" t="s">
        <v>12</v>
      </c>
      <c r="D128" s="2" t="s">
        <v>33</v>
      </c>
      <c r="E128" s="7" t="s">
        <v>410</v>
      </c>
      <c r="F128" s="2" t="s">
        <v>20</v>
      </c>
      <c r="G128" s="2" t="s">
        <v>21</v>
      </c>
      <c r="H128" s="2">
        <v>23</v>
      </c>
      <c r="I128" s="3">
        <v>145000</v>
      </c>
      <c r="J128" s="3">
        <v>62000</v>
      </c>
      <c r="K128" s="3" t="str">
        <f t="shared" si="6"/>
        <v>Budi Santoso</v>
      </c>
      <c r="L128" s="2" t="str">
        <f>VLOOKUP(MID(A128,5,1),Referensi!$A$1:$C$6,2,FALSE)</f>
        <v>Tunai</v>
      </c>
      <c r="M128" s="2" t="str">
        <f t="shared" si="7"/>
        <v>Lama</v>
      </c>
      <c r="N128" s="8">
        <f t="shared" si="8"/>
        <v>3335000</v>
      </c>
      <c r="O128" s="5">
        <f t="shared" si="9"/>
        <v>0</v>
      </c>
      <c r="P128" s="8">
        <f t="shared" si="10"/>
        <v>3335000</v>
      </c>
      <c r="Q128" s="8">
        <f>P128-VLOOKUP(MID(A128,5,1),Referensi!$A$1:$C$6,3,FALSE)</f>
        <v>3335000</v>
      </c>
      <c r="R128" s="8">
        <f t="shared" si="11"/>
        <v>1909000</v>
      </c>
    </row>
    <row r="129" spans="1:18" x14ac:dyDescent="0.2">
      <c r="A129" t="s">
        <v>185</v>
      </c>
      <c r="B129" s="1">
        <v>45396</v>
      </c>
      <c r="C129" s="2" t="s">
        <v>18</v>
      </c>
      <c r="D129" s="2" t="s">
        <v>19</v>
      </c>
      <c r="E129" s="7" t="s">
        <v>411</v>
      </c>
      <c r="F129" s="2" t="s">
        <v>27</v>
      </c>
      <c r="G129" s="2" t="s">
        <v>30</v>
      </c>
      <c r="H129" s="2">
        <v>8</v>
      </c>
      <c r="I129" s="3">
        <v>110000</v>
      </c>
      <c r="J129" s="3">
        <v>46000</v>
      </c>
      <c r="K129" s="3" t="str">
        <f t="shared" si="6"/>
        <v>Budi Santoso</v>
      </c>
      <c r="L129" s="2" t="str">
        <f>VLOOKUP(MID(A129,5,1),Referensi!$A$1:$C$6,2,FALSE)</f>
        <v>QRIS</v>
      </c>
      <c r="M129" s="2" t="str">
        <f t="shared" si="7"/>
        <v>Lama</v>
      </c>
      <c r="N129" s="8">
        <f t="shared" si="8"/>
        <v>880000</v>
      </c>
      <c r="O129" s="5">
        <f t="shared" si="9"/>
        <v>0</v>
      </c>
      <c r="P129" s="8">
        <f t="shared" si="10"/>
        <v>880000</v>
      </c>
      <c r="Q129" s="8">
        <f>P129-VLOOKUP(MID(A129,5,1),Referensi!$A$1:$C$6,3,FALSE)</f>
        <v>879000</v>
      </c>
      <c r="R129" s="8">
        <f t="shared" si="11"/>
        <v>511000</v>
      </c>
    </row>
    <row r="130" spans="1:18" x14ac:dyDescent="0.2">
      <c r="A130" t="s">
        <v>186</v>
      </c>
      <c r="B130" s="1">
        <v>45396</v>
      </c>
      <c r="C130" s="2" t="s">
        <v>22</v>
      </c>
      <c r="D130" s="2" t="s">
        <v>23</v>
      </c>
      <c r="E130" s="7" t="s">
        <v>412</v>
      </c>
      <c r="F130" s="2" t="s">
        <v>20</v>
      </c>
      <c r="G130" s="2" t="s">
        <v>21</v>
      </c>
      <c r="H130" s="2">
        <v>22</v>
      </c>
      <c r="I130" s="3">
        <v>145000</v>
      </c>
      <c r="J130" s="3">
        <v>62000</v>
      </c>
      <c r="K130" s="3" t="str">
        <f t="shared" si="6"/>
        <v>Hesti Wulandari</v>
      </c>
      <c r="L130" s="2" t="str">
        <f>VLOOKUP(MID(A130,5,1),Referensi!$A$1:$C$6,2,FALSE)</f>
        <v>Transfer Bank</v>
      </c>
      <c r="M130" s="2" t="str">
        <f t="shared" si="7"/>
        <v>Lama</v>
      </c>
      <c r="N130" s="8">
        <f t="shared" si="8"/>
        <v>3190000</v>
      </c>
      <c r="O130" s="5">
        <f t="shared" si="9"/>
        <v>0</v>
      </c>
      <c r="P130" s="8">
        <f t="shared" si="10"/>
        <v>3190000</v>
      </c>
      <c r="Q130" s="8">
        <f>P130-VLOOKUP(MID(A130,5,1),Referensi!$A$1:$C$6,3,FALSE)</f>
        <v>3187500</v>
      </c>
      <c r="R130" s="8">
        <f t="shared" si="11"/>
        <v>1823500</v>
      </c>
    </row>
    <row r="131" spans="1:18" x14ac:dyDescent="0.2">
      <c r="A131" t="s">
        <v>187</v>
      </c>
      <c r="B131" s="1">
        <v>45397</v>
      </c>
      <c r="C131" s="2" t="s">
        <v>22</v>
      </c>
      <c r="D131" s="2" t="s">
        <v>29</v>
      </c>
      <c r="E131" s="7" t="s">
        <v>413</v>
      </c>
      <c r="F131" s="2" t="s">
        <v>16</v>
      </c>
      <c r="G131" s="2" t="s">
        <v>36</v>
      </c>
      <c r="H131" s="2">
        <v>25</v>
      </c>
      <c r="I131" s="3">
        <v>280000</v>
      </c>
      <c r="J131" s="3">
        <v>130000</v>
      </c>
      <c r="K131" s="3" t="str">
        <f t="shared" ref="K131:K194" si="12">PROPER(E131)</f>
        <v>Citra Dewi</v>
      </c>
      <c r="L131" s="2" t="str">
        <f>VLOOKUP(MID(A131,5,1),Referensi!$A$1:$C$6,2,FALSE)</f>
        <v>QRIS</v>
      </c>
      <c r="M131" s="2" t="str">
        <f t="shared" ref="M131:M194" si="13">IF(MID(A131,7,2)="BR","Baru","Lama")</f>
        <v>Baru</v>
      </c>
      <c r="N131" s="8">
        <f t="shared" ref="N131:N194" si="14">I131*H131</f>
        <v>7000000</v>
      </c>
      <c r="O131" s="5">
        <f t="shared" ref="O131:O194" si="15">IF(AND(M131="BARU",N131&gt;50000000),20%,IF(AND(M131="LAMA",N131&gt;50000000),15%,IF(AND(M131="BARU",N131&gt;20000000),10%,0%)))</f>
        <v>0</v>
      </c>
      <c r="P131" s="8">
        <f t="shared" ref="P131:P194" si="16">N131-O131*N131</f>
        <v>7000000</v>
      </c>
      <c r="Q131" s="8">
        <f>P131-VLOOKUP(MID(A131,5,1),Referensi!$A$1:$C$6,3,FALSE)</f>
        <v>6999000</v>
      </c>
      <c r="R131" s="8">
        <f t="shared" ref="R131:R194" si="17">Q131-(H131*J131)</f>
        <v>3749000</v>
      </c>
    </row>
    <row r="132" spans="1:18" x14ac:dyDescent="0.2">
      <c r="A132" t="s">
        <v>188</v>
      </c>
      <c r="B132" s="1">
        <v>45397</v>
      </c>
      <c r="C132" s="2" t="s">
        <v>22</v>
      </c>
      <c r="D132" s="2" t="s">
        <v>23</v>
      </c>
      <c r="E132" s="7" t="s">
        <v>414</v>
      </c>
      <c r="F132" s="2" t="s">
        <v>16</v>
      </c>
      <c r="G132" s="2" t="s">
        <v>32</v>
      </c>
      <c r="H132" s="2">
        <v>40</v>
      </c>
      <c r="I132" s="3">
        <v>420000</v>
      </c>
      <c r="J132" s="3">
        <v>225000</v>
      </c>
      <c r="K132" s="3" t="str">
        <f t="shared" si="12"/>
        <v>Citra Dewi</v>
      </c>
      <c r="L132" s="2" t="str">
        <f>VLOOKUP(MID(A132,5,1),Referensi!$A$1:$C$6,2,FALSE)</f>
        <v>Kartu Debit</v>
      </c>
      <c r="M132" s="2" t="str">
        <f t="shared" si="13"/>
        <v>Baru</v>
      </c>
      <c r="N132" s="8">
        <f t="shared" si="14"/>
        <v>16800000</v>
      </c>
      <c r="O132" s="5">
        <f t="shared" si="15"/>
        <v>0</v>
      </c>
      <c r="P132" s="8">
        <f t="shared" si="16"/>
        <v>16800000</v>
      </c>
      <c r="Q132" s="8">
        <f>P132-VLOOKUP(MID(A132,5,1),Referensi!$A$1:$C$6,3,FALSE)</f>
        <v>16793500</v>
      </c>
      <c r="R132" s="8">
        <f t="shared" si="17"/>
        <v>7793500</v>
      </c>
    </row>
    <row r="133" spans="1:18" x14ac:dyDescent="0.2">
      <c r="A133" t="s">
        <v>189</v>
      </c>
      <c r="B133" s="1">
        <v>45398</v>
      </c>
      <c r="C133" s="2" t="s">
        <v>22</v>
      </c>
      <c r="D133" s="2" t="s">
        <v>29</v>
      </c>
      <c r="E133" s="7" t="s">
        <v>415</v>
      </c>
      <c r="F133" s="2" t="s">
        <v>14</v>
      </c>
      <c r="G133" s="2" t="s">
        <v>34</v>
      </c>
      <c r="H133" s="2">
        <v>16</v>
      </c>
      <c r="I133" s="3">
        <v>820000</v>
      </c>
      <c r="J133" s="3">
        <v>415000</v>
      </c>
      <c r="K133" s="3" t="str">
        <f t="shared" si="12"/>
        <v>Hesti Wulandari</v>
      </c>
      <c r="L133" s="2" t="str">
        <f>VLOOKUP(MID(A133,5,1),Referensi!$A$1:$C$6,2,FALSE)</f>
        <v>Transfer Bank</v>
      </c>
      <c r="M133" s="2" t="str">
        <f t="shared" si="13"/>
        <v>Lama</v>
      </c>
      <c r="N133" s="8">
        <f t="shared" si="14"/>
        <v>13120000</v>
      </c>
      <c r="O133" s="5">
        <f t="shared" si="15"/>
        <v>0</v>
      </c>
      <c r="P133" s="8">
        <f t="shared" si="16"/>
        <v>13120000</v>
      </c>
      <c r="Q133" s="8">
        <f>P133-VLOOKUP(MID(A133,5,1),Referensi!$A$1:$C$6,3,FALSE)</f>
        <v>13117500</v>
      </c>
      <c r="R133" s="8">
        <f t="shared" si="17"/>
        <v>6477500</v>
      </c>
    </row>
    <row r="134" spans="1:18" x14ac:dyDescent="0.2">
      <c r="A134" t="s">
        <v>190</v>
      </c>
      <c r="B134" s="1">
        <v>45398</v>
      </c>
      <c r="C134" s="2" t="s">
        <v>18</v>
      </c>
      <c r="D134" s="2" t="s">
        <v>31</v>
      </c>
      <c r="E134" s="7" t="s">
        <v>416</v>
      </c>
      <c r="F134" s="2" t="s">
        <v>14</v>
      </c>
      <c r="G134" s="2" t="s">
        <v>39</v>
      </c>
      <c r="H134" s="2">
        <v>17</v>
      </c>
      <c r="I134" s="3">
        <v>1190000</v>
      </c>
      <c r="J134" s="3">
        <v>630000</v>
      </c>
      <c r="K134" s="3" t="str">
        <f t="shared" si="12"/>
        <v>Gilang Ramadhan</v>
      </c>
      <c r="L134" s="2" t="str">
        <f>VLOOKUP(MID(A134,5,1),Referensi!$A$1:$C$6,2,FALSE)</f>
        <v>QRIS</v>
      </c>
      <c r="M134" s="2" t="str">
        <f t="shared" si="13"/>
        <v>Lama</v>
      </c>
      <c r="N134" s="8">
        <f t="shared" si="14"/>
        <v>20230000</v>
      </c>
      <c r="O134" s="5">
        <f t="shared" si="15"/>
        <v>0</v>
      </c>
      <c r="P134" s="8">
        <f t="shared" si="16"/>
        <v>20230000</v>
      </c>
      <c r="Q134" s="8">
        <f>P134-VLOOKUP(MID(A134,5,1),Referensi!$A$1:$C$6,3,FALSE)</f>
        <v>20229000</v>
      </c>
      <c r="R134" s="8">
        <f t="shared" si="17"/>
        <v>9519000</v>
      </c>
    </row>
    <row r="135" spans="1:18" x14ac:dyDescent="0.2">
      <c r="A135" t="s">
        <v>191</v>
      </c>
      <c r="B135" s="1">
        <v>45398</v>
      </c>
      <c r="C135" s="2" t="s">
        <v>22</v>
      </c>
      <c r="D135" s="2" t="s">
        <v>23</v>
      </c>
      <c r="E135" s="7" t="s">
        <v>417</v>
      </c>
      <c r="F135" s="2" t="s">
        <v>16</v>
      </c>
      <c r="G135" s="2" t="s">
        <v>32</v>
      </c>
      <c r="H135" s="2">
        <v>34</v>
      </c>
      <c r="I135" s="3">
        <v>420000</v>
      </c>
      <c r="J135" s="3">
        <v>225000</v>
      </c>
      <c r="K135" s="3" t="str">
        <f t="shared" si="12"/>
        <v>Fitri Handayani</v>
      </c>
      <c r="L135" s="2" t="str">
        <f>VLOOKUP(MID(A135,5,1),Referensi!$A$1:$C$6,2,FALSE)</f>
        <v>Tunai</v>
      </c>
      <c r="M135" s="2" t="str">
        <f t="shared" si="13"/>
        <v>Lama</v>
      </c>
      <c r="N135" s="8">
        <f t="shared" si="14"/>
        <v>14280000</v>
      </c>
      <c r="O135" s="5">
        <f t="shared" si="15"/>
        <v>0</v>
      </c>
      <c r="P135" s="8">
        <f t="shared" si="16"/>
        <v>14280000</v>
      </c>
      <c r="Q135" s="8">
        <f>P135-VLOOKUP(MID(A135,5,1),Referensi!$A$1:$C$6,3,FALSE)</f>
        <v>14280000</v>
      </c>
      <c r="R135" s="8">
        <f t="shared" si="17"/>
        <v>6630000</v>
      </c>
    </row>
    <row r="136" spans="1:18" x14ac:dyDescent="0.2">
      <c r="A136" t="s">
        <v>192</v>
      </c>
      <c r="B136" s="1">
        <v>45399</v>
      </c>
      <c r="C136" s="2" t="s">
        <v>22</v>
      </c>
      <c r="D136" s="2" t="s">
        <v>29</v>
      </c>
      <c r="E136" s="7" t="s">
        <v>418</v>
      </c>
      <c r="F136" s="2" t="s">
        <v>20</v>
      </c>
      <c r="G136" s="2" t="s">
        <v>21</v>
      </c>
      <c r="H136" s="2">
        <v>28</v>
      </c>
      <c r="I136" s="3">
        <v>145000</v>
      </c>
      <c r="J136" s="3">
        <v>62000</v>
      </c>
      <c r="K136" s="3" t="str">
        <f t="shared" si="12"/>
        <v>Dewi Lestari</v>
      </c>
      <c r="L136" s="2" t="str">
        <f>VLOOKUP(MID(A136,5,1),Referensi!$A$1:$C$6,2,FALSE)</f>
        <v>Kartu Kredit</v>
      </c>
      <c r="M136" s="2" t="str">
        <f t="shared" si="13"/>
        <v>Baru</v>
      </c>
      <c r="N136" s="8">
        <f t="shared" si="14"/>
        <v>4060000</v>
      </c>
      <c r="O136" s="5">
        <f t="shared" si="15"/>
        <v>0</v>
      </c>
      <c r="P136" s="8">
        <f t="shared" si="16"/>
        <v>4060000</v>
      </c>
      <c r="Q136" s="8">
        <f>P136-VLOOKUP(MID(A136,5,1),Referensi!$A$1:$C$6,3,FALSE)</f>
        <v>4050000</v>
      </c>
      <c r="R136" s="8">
        <f t="shared" si="17"/>
        <v>2314000</v>
      </c>
    </row>
    <row r="137" spans="1:18" x14ac:dyDescent="0.2">
      <c r="A137" t="s">
        <v>193</v>
      </c>
      <c r="B137" s="1">
        <v>45399</v>
      </c>
      <c r="C137" s="2" t="s">
        <v>25</v>
      </c>
      <c r="D137" s="2" t="s">
        <v>37</v>
      </c>
      <c r="E137" s="7" t="s">
        <v>419</v>
      </c>
      <c r="F137" s="2" t="s">
        <v>14</v>
      </c>
      <c r="G137" s="2" t="s">
        <v>15</v>
      </c>
      <c r="H137" s="2">
        <v>30</v>
      </c>
      <c r="I137" s="3">
        <v>2290000</v>
      </c>
      <c r="J137" s="3">
        <v>1290000</v>
      </c>
      <c r="K137" s="3" t="str">
        <f t="shared" si="12"/>
        <v>Gilang Ramadhan</v>
      </c>
      <c r="L137" s="2" t="str">
        <f>VLOOKUP(MID(A137,5,1),Referensi!$A$1:$C$6,2,FALSE)</f>
        <v>Kartu Debit</v>
      </c>
      <c r="M137" s="2" t="str">
        <f t="shared" si="13"/>
        <v>Baru</v>
      </c>
      <c r="N137" s="8">
        <f t="shared" si="14"/>
        <v>68700000</v>
      </c>
      <c r="O137" s="5">
        <f t="shared" si="15"/>
        <v>0.2</v>
      </c>
      <c r="P137" s="8">
        <f t="shared" si="16"/>
        <v>54960000</v>
      </c>
      <c r="Q137" s="8">
        <f>P137-VLOOKUP(MID(A137,5,1),Referensi!$A$1:$C$6,3,FALSE)</f>
        <v>54953500</v>
      </c>
      <c r="R137" s="8">
        <f t="shared" si="17"/>
        <v>16253500</v>
      </c>
    </row>
    <row r="138" spans="1:18" x14ac:dyDescent="0.2">
      <c r="A138" t="s">
        <v>194</v>
      </c>
      <c r="B138" s="1">
        <v>45399</v>
      </c>
      <c r="C138" s="2" t="s">
        <v>22</v>
      </c>
      <c r="D138" s="2" t="s">
        <v>29</v>
      </c>
      <c r="E138" s="7" t="s">
        <v>420</v>
      </c>
      <c r="F138" s="2" t="s">
        <v>27</v>
      </c>
      <c r="G138" s="2" t="s">
        <v>28</v>
      </c>
      <c r="H138" s="2">
        <v>40</v>
      </c>
      <c r="I138" s="3">
        <v>295000</v>
      </c>
      <c r="J138" s="3">
        <v>138000</v>
      </c>
      <c r="K138" s="3" t="str">
        <f t="shared" si="12"/>
        <v>Budi Santoso</v>
      </c>
      <c r="L138" s="2" t="str">
        <f>VLOOKUP(MID(A138,5,1),Referensi!$A$1:$C$6,2,FALSE)</f>
        <v>Kartu Kredit</v>
      </c>
      <c r="M138" s="2" t="str">
        <f t="shared" si="13"/>
        <v>Lama</v>
      </c>
      <c r="N138" s="8">
        <f t="shared" si="14"/>
        <v>11800000</v>
      </c>
      <c r="O138" s="5">
        <f t="shared" si="15"/>
        <v>0</v>
      </c>
      <c r="P138" s="8">
        <f t="shared" si="16"/>
        <v>11800000</v>
      </c>
      <c r="Q138" s="8">
        <f>P138-VLOOKUP(MID(A138,5,1),Referensi!$A$1:$C$6,3,FALSE)</f>
        <v>11790000</v>
      </c>
      <c r="R138" s="8">
        <f t="shared" si="17"/>
        <v>6270000</v>
      </c>
    </row>
    <row r="139" spans="1:18" x14ac:dyDescent="0.2">
      <c r="A139" t="s">
        <v>195</v>
      </c>
      <c r="B139" s="1">
        <v>45401</v>
      </c>
      <c r="C139" s="2" t="s">
        <v>25</v>
      </c>
      <c r="D139" s="2" t="s">
        <v>37</v>
      </c>
      <c r="E139" s="7" t="s">
        <v>421</v>
      </c>
      <c r="F139" s="2" t="s">
        <v>27</v>
      </c>
      <c r="G139" s="2" t="s">
        <v>30</v>
      </c>
      <c r="H139" s="2">
        <v>17</v>
      </c>
      <c r="I139" s="3">
        <v>110000</v>
      </c>
      <c r="J139" s="3">
        <v>46000</v>
      </c>
      <c r="K139" s="3" t="str">
        <f t="shared" si="12"/>
        <v>Hesti Wulandari</v>
      </c>
      <c r="L139" s="2" t="str">
        <f>VLOOKUP(MID(A139,5,1),Referensi!$A$1:$C$6,2,FALSE)</f>
        <v>Kartu Kredit</v>
      </c>
      <c r="M139" s="2" t="str">
        <f t="shared" si="13"/>
        <v>Baru</v>
      </c>
      <c r="N139" s="8">
        <f t="shared" si="14"/>
        <v>1870000</v>
      </c>
      <c r="O139" s="5">
        <f t="shared" si="15"/>
        <v>0</v>
      </c>
      <c r="P139" s="8">
        <f t="shared" si="16"/>
        <v>1870000</v>
      </c>
      <c r="Q139" s="8">
        <f>P139-VLOOKUP(MID(A139,5,1),Referensi!$A$1:$C$6,3,FALSE)</f>
        <v>1860000</v>
      </c>
      <c r="R139" s="8">
        <f t="shared" si="17"/>
        <v>1078000</v>
      </c>
    </row>
    <row r="140" spans="1:18" x14ac:dyDescent="0.2">
      <c r="A140" t="s">
        <v>196</v>
      </c>
      <c r="B140" s="1">
        <v>45403</v>
      </c>
      <c r="C140" s="2" t="s">
        <v>12</v>
      </c>
      <c r="D140" s="2" t="s">
        <v>33</v>
      </c>
      <c r="E140" s="7" t="s">
        <v>422</v>
      </c>
      <c r="F140" s="2" t="s">
        <v>27</v>
      </c>
      <c r="G140" s="2" t="s">
        <v>43</v>
      </c>
      <c r="H140" s="2">
        <v>8</v>
      </c>
      <c r="I140" s="3">
        <v>87000</v>
      </c>
      <c r="J140" s="3">
        <v>37000</v>
      </c>
      <c r="K140" s="3" t="str">
        <f t="shared" si="12"/>
        <v>Gilang Ramadhan</v>
      </c>
      <c r="L140" s="2" t="str">
        <f>VLOOKUP(MID(A140,5,1),Referensi!$A$1:$C$6,2,FALSE)</f>
        <v>Kartu Debit</v>
      </c>
      <c r="M140" s="2" t="str">
        <f t="shared" si="13"/>
        <v>Lama</v>
      </c>
      <c r="N140" s="8">
        <f t="shared" si="14"/>
        <v>696000</v>
      </c>
      <c r="O140" s="5">
        <f t="shared" si="15"/>
        <v>0</v>
      </c>
      <c r="P140" s="8">
        <f t="shared" si="16"/>
        <v>696000</v>
      </c>
      <c r="Q140" s="8">
        <f>P140-VLOOKUP(MID(A140,5,1),Referensi!$A$1:$C$6,3,FALSE)</f>
        <v>689500</v>
      </c>
      <c r="R140" s="8">
        <f t="shared" si="17"/>
        <v>393500</v>
      </c>
    </row>
    <row r="141" spans="1:18" x14ac:dyDescent="0.2">
      <c r="A141" t="s">
        <v>197</v>
      </c>
      <c r="B141" s="1">
        <v>45404</v>
      </c>
      <c r="C141" s="2" t="s">
        <v>22</v>
      </c>
      <c r="D141" s="2" t="s">
        <v>29</v>
      </c>
      <c r="E141" s="7" t="s">
        <v>423</v>
      </c>
      <c r="F141" s="2" t="s">
        <v>20</v>
      </c>
      <c r="G141" s="2" t="s">
        <v>41</v>
      </c>
      <c r="H141" s="2">
        <v>25</v>
      </c>
      <c r="I141" s="3">
        <v>75000</v>
      </c>
      <c r="J141" s="3">
        <v>28000</v>
      </c>
      <c r="K141" s="3" t="str">
        <f t="shared" si="12"/>
        <v>Fitri Handayani</v>
      </c>
      <c r="L141" s="2" t="str">
        <f>VLOOKUP(MID(A141,5,1),Referensi!$A$1:$C$6,2,FALSE)</f>
        <v>Tunai</v>
      </c>
      <c r="M141" s="2" t="str">
        <f t="shared" si="13"/>
        <v>Lama</v>
      </c>
      <c r="N141" s="8">
        <f t="shared" si="14"/>
        <v>1875000</v>
      </c>
      <c r="O141" s="5">
        <f t="shared" si="15"/>
        <v>0</v>
      </c>
      <c r="P141" s="8">
        <f t="shared" si="16"/>
        <v>1875000</v>
      </c>
      <c r="Q141" s="8">
        <f>P141-VLOOKUP(MID(A141,5,1),Referensi!$A$1:$C$6,3,FALSE)</f>
        <v>1875000</v>
      </c>
      <c r="R141" s="8">
        <f t="shared" si="17"/>
        <v>1175000</v>
      </c>
    </row>
    <row r="142" spans="1:18" x14ac:dyDescent="0.2">
      <c r="A142" t="s">
        <v>198</v>
      </c>
      <c r="B142" s="1">
        <v>45404</v>
      </c>
      <c r="C142" s="2" t="s">
        <v>25</v>
      </c>
      <c r="D142" s="2" t="s">
        <v>26</v>
      </c>
      <c r="E142" s="7" t="s">
        <v>424</v>
      </c>
      <c r="F142" s="2" t="s">
        <v>27</v>
      </c>
      <c r="G142" s="2" t="s">
        <v>28</v>
      </c>
      <c r="H142" s="2">
        <v>32</v>
      </c>
      <c r="I142" s="3">
        <v>295000</v>
      </c>
      <c r="J142" s="3">
        <v>138000</v>
      </c>
      <c r="K142" s="3" t="str">
        <f t="shared" si="12"/>
        <v>Citra Dewi</v>
      </c>
      <c r="L142" s="2" t="str">
        <f>VLOOKUP(MID(A142,5,1),Referensi!$A$1:$C$6,2,FALSE)</f>
        <v>Tunai</v>
      </c>
      <c r="M142" s="2" t="str">
        <f t="shared" si="13"/>
        <v>Lama</v>
      </c>
      <c r="N142" s="8">
        <f t="shared" si="14"/>
        <v>9440000</v>
      </c>
      <c r="O142" s="5">
        <f t="shared" si="15"/>
        <v>0</v>
      </c>
      <c r="P142" s="8">
        <f t="shared" si="16"/>
        <v>9440000</v>
      </c>
      <c r="Q142" s="8">
        <f>P142-VLOOKUP(MID(A142,5,1),Referensi!$A$1:$C$6,3,FALSE)</f>
        <v>9440000</v>
      </c>
      <c r="R142" s="8">
        <f t="shared" si="17"/>
        <v>5024000</v>
      </c>
    </row>
    <row r="143" spans="1:18" x14ac:dyDescent="0.2">
      <c r="A143" t="s">
        <v>199</v>
      </c>
      <c r="B143" s="1">
        <v>45405</v>
      </c>
      <c r="C143" s="2" t="s">
        <v>12</v>
      </c>
      <c r="D143" s="2" t="s">
        <v>33</v>
      </c>
      <c r="E143" s="7" t="s">
        <v>425</v>
      </c>
      <c r="F143" s="2" t="s">
        <v>14</v>
      </c>
      <c r="G143" s="2" t="s">
        <v>15</v>
      </c>
      <c r="H143" s="2">
        <v>33</v>
      </c>
      <c r="I143" s="3">
        <v>2290000</v>
      </c>
      <c r="J143" s="3">
        <v>1290000</v>
      </c>
      <c r="K143" s="3" t="str">
        <f t="shared" si="12"/>
        <v>Andi Saputra</v>
      </c>
      <c r="L143" s="2" t="str">
        <f>VLOOKUP(MID(A143,5,1),Referensi!$A$1:$C$6,2,FALSE)</f>
        <v>QRIS</v>
      </c>
      <c r="M143" s="2" t="str">
        <f t="shared" si="13"/>
        <v>Baru</v>
      </c>
      <c r="N143" s="8">
        <f t="shared" si="14"/>
        <v>75570000</v>
      </c>
      <c r="O143" s="5">
        <f t="shared" si="15"/>
        <v>0.2</v>
      </c>
      <c r="P143" s="8">
        <f t="shared" si="16"/>
        <v>60456000</v>
      </c>
      <c r="Q143" s="8">
        <f>P143-VLOOKUP(MID(A143,5,1),Referensi!$A$1:$C$6,3,FALSE)</f>
        <v>60455000</v>
      </c>
      <c r="R143" s="8">
        <f t="shared" si="17"/>
        <v>17885000</v>
      </c>
    </row>
    <row r="144" spans="1:18" x14ac:dyDescent="0.2">
      <c r="A144" t="s">
        <v>200</v>
      </c>
      <c r="B144" s="1">
        <v>45407</v>
      </c>
      <c r="C144" s="2" t="s">
        <v>18</v>
      </c>
      <c r="D144" s="2" t="s">
        <v>31</v>
      </c>
      <c r="E144" s="7" t="s">
        <v>426</v>
      </c>
      <c r="F144" s="2" t="s">
        <v>27</v>
      </c>
      <c r="G144" s="2" t="s">
        <v>43</v>
      </c>
      <c r="H144" s="2">
        <v>12</v>
      </c>
      <c r="I144" s="3">
        <v>87000</v>
      </c>
      <c r="J144" s="3">
        <v>37000</v>
      </c>
      <c r="K144" s="3" t="str">
        <f t="shared" si="12"/>
        <v>Budi Santoso</v>
      </c>
      <c r="L144" s="2" t="str">
        <f>VLOOKUP(MID(A144,5,1),Referensi!$A$1:$C$6,2,FALSE)</f>
        <v>QRIS</v>
      </c>
      <c r="M144" s="2" t="str">
        <f t="shared" si="13"/>
        <v>Baru</v>
      </c>
      <c r="N144" s="8">
        <f t="shared" si="14"/>
        <v>1044000</v>
      </c>
      <c r="O144" s="5">
        <f t="shared" si="15"/>
        <v>0</v>
      </c>
      <c r="P144" s="8">
        <f t="shared" si="16"/>
        <v>1044000</v>
      </c>
      <c r="Q144" s="8">
        <f>P144-VLOOKUP(MID(A144,5,1),Referensi!$A$1:$C$6,3,FALSE)</f>
        <v>1043000</v>
      </c>
      <c r="R144" s="8">
        <f t="shared" si="17"/>
        <v>599000</v>
      </c>
    </row>
    <row r="145" spans="1:18" x14ac:dyDescent="0.2">
      <c r="A145" t="s">
        <v>201</v>
      </c>
      <c r="B145" s="1">
        <v>45408</v>
      </c>
      <c r="C145" s="2" t="s">
        <v>18</v>
      </c>
      <c r="D145" s="2" t="s">
        <v>40</v>
      </c>
      <c r="E145" s="7" t="s">
        <v>427</v>
      </c>
      <c r="F145" s="2" t="s">
        <v>27</v>
      </c>
      <c r="G145" s="2" t="s">
        <v>43</v>
      </c>
      <c r="H145" s="2">
        <v>12</v>
      </c>
      <c r="I145" s="3">
        <v>87000</v>
      </c>
      <c r="J145" s="3">
        <v>37000</v>
      </c>
      <c r="K145" s="3" t="str">
        <f t="shared" si="12"/>
        <v>Eko Prasetyo</v>
      </c>
      <c r="L145" s="2" t="str">
        <f>VLOOKUP(MID(A145,5,1),Referensi!$A$1:$C$6,2,FALSE)</f>
        <v>Kartu Kredit</v>
      </c>
      <c r="M145" s="2" t="str">
        <f t="shared" si="13"/>
        <v>Lama</v>
      </c>
      <c r="N145" s="8">
        <f t="shared" si="14"/>
        <v>1044000</v>
      </c>
      <c r="O145" s="5">
        <f t="shared" si="15"/>
        <v>0</v>
      </c>
      <c r="P145" s="8">
        <f t="shared" si="16"/>
        <v>1044000</v>
      </c>
      <c r="Q145" s="8">
        <f>P145-VLOOKUP(MID(A145,5,1),Referensi!$A$1:$C$6,3,FALSE)</f>
        <v>1034000</v>
      </c>
      <c r="R145" s="8">
        <f t="shared" si="17"/>
        <v>590000</v>
      </c>
    </row>
    <row r="146" spans="1:18" x14ac:dyDescent="0.2">
      <c r="A146" t="s">
        <v>202</v>
      </c>
      <c r="B146" s="1">
        <v>45408</v>
      </c>
      <c r="C146" s="2" t="s">
        <v>22</v>
      </c>
      <c r="D146" s="2" t="s">
        <v>29</v>
      </c>
      <c r="E146" s="7" t="s">
        <v>428</v>
      </c>
      <c r="F146" s="2" t="s">
        <v>27</v>
      </c>
      <c r="G146" s="2" t="s">
        <v>30</v>
      </c>
      <c r="H146" s="2">
        <v>40</v>
      </c>
      <c r="I146" s="3">
        <v>110000</v>
      </c>
      <c r="J146" s="3">
        <v>46000</v>
      </c>
      <c r="K146" s="3" t="str">
        <f t="shared" si="12"/>
        <v>Fitri Handayani</v>
      </c>
      <c r="L146" s="2" t="str">
        <f>VLOOKUP(MID(A146,5,1),Referensi!$A$1:$C$6,2,FALSE)</f>
        <v>Tunai</v>
      </c>
      <c r="M146" s="2" t="str">
        <f t="shared" si="13"/>
        <v>Lama</v>
      </c>
      <c r="N146" s="8">
        <f t="shared" si="14"/>
        <v>4400000</v>
      </c>
      <c r="O146" s="5">
        <f t="shared" si="15"/>
        <v>0</v>
      </c>
      <c r="P146" s="8">
        <f t="shared" si="16"/>
        <v>4400000</v>
      </c>
      <c r="Q146" s="8">
        <f>P146-VLOOKUP(MID(A146,5,1),Referensi!$A$1:$C$6,3,FALSE)</f>
        <v>4400000</v>
      </c>
      <c r="R146" s="8">
        <f t="shared" si="17"/>
        <v>2560000</v>
      </c>
    </row>
    <row r="147" spans="1:18" x14ac:dyDescent="0.2">
      <c r="A147" t="s">
        <v>203</v>
      </c>
      <c r="B147" s="1">
        <v>45409</v>
      </c>
      <c r="C147" s="2" t="s">
        <v>22</v>
      </c>
      <c r="D147" s="2" t="s">
        <v>23</v>
      </c>
      <c r="E147" s="7" t="s">
        <v>429</v>
      </c>
      <c r="F147" s="2" t="s">
        <v>16</v>
      </c>
      <c r="G147" s="2" t="s">
        <v>44</v>
      </c>
      <c r="H147" s="2">
        <v>4</v>
      </c>
      <c r="I147" s="3">
        <v>320000</v>
      </c>
      <c r="J147" s="3">
        <v>160000</v>
      </c>
      <c r="K147" s="3" t="str">
        <f t="shared" si="12"/>
        <v>Fitri Handayani</v>
      </c>
      <c r="L147" s="2" t="str">
        <f>VLOOKUP(MID(A147,5,1),Referensi!$A$1:$C$6,2,FALSE)</f>
        <v>QRIS</v>
      </c>
      <c r="M147" s="2" t="str">
        <f t="shared" si="13"/>
        <v>Lama</v>
      </c>
      <c r="N147" s="8">
        <f t="shared" si="14"/>
        <v>1280000</v>
      </c>
      <c r="O147" s="5">
        <f t="shared" si="15"/>
        <v>0</v>
      </c>
      <c r="P147" s="8">
        <f t="shared" si="16"/>
        <v>1280000</v>
      </c>
      <c r="Q147" s="8">
        <f>P147-VLOOKUP(MID(A147,5,1),Referensi!$A$1:$C$6,3,FALSE)</f>
        <v>1279000</v>
      </c>
      <c r="R147" s="8">
        <f t="shared" si="17"/>
        <v>639000</v>
      </c>
    </row>
    <row r="148" spans="1:18" x14ac:dyDescent="0.2">
      <c r="A148" t="s">
        <v>204</v>
      </c>
      <c r="B148" s="1">
        <v>45410</v>
      </c>
      <c r="C148" s="2" t="s">
        <v>18</v>
      </c>
      <c r="D148" s="2" t="s">
        <v>31</v>
      </c>
      <c r="E148" s="7" t="s">
        <v>430</v>
      </c>
      <c r="F148" s="2" t="s">
        <v>14</v>
      </c>
      <c r="G148" s="2" t="s">
        <v>39</v>
      </c>
      <c r="H148" s="2">
        <v>39</v>
      </c>
      <c r="I148" s="3">
        <v>1190000</v>
      </c>
      <c r="J148" s="3">
        <v>630000</v>
      </c>
      <c r="K148" s="3" t="str">
        <f t="shared" si="12"/>
        <v>Dewi Lestari</v>
      </c>
      <c r="L148" s="2" t="str">
        <f>VLOOKUP(MID(A148,5,1),Referensi!$A$1:$C$6,2,FALSE)</f>
        <v>Transfer Bank</v>
      </c>
      <c r="M148" s="2" t="str">
        <f t="shared" si="13"/>
        <v>Lama</v>
      </c>
      <c r="N148" s="8">
        <f t="shared" si="14"/>
        <v>46410000</v>
      </c>
      <c r="O148" s="5">
        <f t="shared" si="15"/>
        <v>0</v>
      </c>
      <c r="P148" s="8">
        <f t="shared" si="16"/>
        <v>46410000</v>
      </c>
      <c r="Q148" s="8">
        <f>P148-VLOOKUP(MID(A148,5,1),Referensi!$A$1:$C$6,3,FALSE)</f>
        <v>46407500</v>
      </c>
      <c r="R148" s="8">
        <f t="shared" si="17"/>
        <v>21837500</v>
      </c>
    </row>
    <row r="149" spans="1:18" x14ac:dyDescent="0.2">
      <c r="A149" t="s">
        <v>205</v>
      </c>
      <c r="B149" s="1">
        <v>45411</v>
      </c>
      <c r="C149" s="2" t="s">
        <v>12</v>
      </c>
      <c r="D149" s="2" t="s">
        <v>13</v>
      </c>
      <c r="E149" s="7" t="s">
        <v>431</v>
      </c>
      <c r="F149" s="2" t="s">
        <v>20</v>
      </c>
      <c r="G149" s="2" t="s">
        <v>21</v>
      </c>
      <c r="H149" s="2">
        <v>22</v>
      </c>
      <c r="I149" s="3">
        <v>145000</v>
      </c>
      <c r="J149" s="3">
        <v>62000</v>
      </c>
      <c r="K149" s="3" t="str">
        <f t="shared" si="12"/>
        <v>Budi Santoso</v>
      </c>
      <c r="L149" s="2" t="str">
        <f>VLOOKUP(MID(A149,5,1),Referensi!$A$1:$C$6,2,FALSE)</f>
        <v>Kartu Debit</v>
      </c>
      <c r="M149" s="2" t="str">
        <f t="shared" si="13"/>
        <v>Baru</v>
      </c>
      <c r="N149" s="8">
        <f t="shared" si="14"/>
        <v>3190000</v>
      </c>
      <c r="O149" s="5">
        <f t="shared" si="15"/>
        <v>0</v>
      </c>
      <c r="P149" s="8">
        <f t="shared" si="16"/>
        <v>3190000</v>
      </c>
      <c r="Q149" s="8">
        <f>P149-VLOOKUP(MID(A149,5,1),Referensi!$A$1:$C$6,3,FALSE)</f>
        <v>3183500</v>
      </c>
      <c r="R149" s="8">
        <f t="shared" si="17"/>
        <v>1819500</v>
      </c>
    </row>
    <row r="150" spans="1:18" x14ac:dyDescent="0.2">
      <c r="A150" t="s">
        <v>206</v>
      </c>
      <c r="B150" s="1">
        <v>45411</v>
      </c>
      <c r="C150" s="2" t="s">
        <v>18</v>
      </c>
      <c r="D150" s="2" t="s">
        <v>19</v>
      </c>
      <c r="E150" s="7" t="s">
        <v>432</v>
      </c>
      <c r="F150" s="2" t="s">
        <v>14</v>
      </c>
      <c r="G150" s="2" t="s">
        <v>34</v>
      </c>
      <c r="H150" s="2">
        <v>36</v>
      </c>
      <c r="I150" s="3">
        <v>820000</v>
      </c>
      <c r="J150" s="3">
        <v>415000</v>
      </c>
      <c r="K150" s="3" t="str">
        <f t="shared" si="12"/>
        <v>Dewi Lestari</v>
      </c>
      <c r="L150" s="2" t="str">
        <f>VLOOKUP(MID(A150,5,1),Referensi!$A$1:$C$6,2,FALSE)</f>
        <v>QRIS</v>
      </c>
      <c r="M150" s="2" t="str">
        <f t="shared" si="13"/>
        <v>Baru</v>
      </c>
      <c r="N150" s="8">
        <f t="shared" si="14"/>
        <v>29520000</v>
      </c>
      <c r="O150" s="5">
        <f t="shared" si="15"/>
        <v>0.1</v>
      </c>
      <c r="P150" s="8">
        <f t="shared" si="16"/>
        <v>26568000</v>
      </c>
      <c r="Q150" s="8">
        <f>P150-VLOOKUP(MID(A150,5,1),Referensi!$A$1:$C$6,3,FALSE)</f>
        <v>26567000</v>
      </c>
      <c r="R150" s="8">
        <f t="shared" si="17"/>
        <v>11627000</v>
      </c>
    </row>
    <row r="151" spans="1:18" x14ac:dyDescent="0.2">
      <c r="A151" t="s">
        <v>207</v>
      </c>
      <c r="B151" s="1">
        <v>45411</v>
      </c>
      <c r="C151" s="2" t="s">
        <v>18</v>
      </c>
      <c r="D151" s="2" t="s">
        <v>31</v>
      </c>
      <c r="E151" s="7" t="s">
        <v>433</v>
      </c>
      <c r="F151" s="2" t="s">
        <v>20</v>
      </c>
      <c r="G151" s="2" t="s">
        <v>45</v>
      </c>
      <c r="H151" s="2">
        <v>10</v>
      </c>
      <c r="I151" s="3">
        <v>36000</v>
      </c>
      <c r="J151" s="3">
        <v>13000</v>
      </c>
      <c r="K151" s="3" t="str">
        <f t="shared" si="12"/>
        <v>Hesti Wulandari</v>
      </c>
      <c r="L151" s="2" t="str">
        <f>VLOOKUP(MID(A151,5,1),Referensi!$A$1:$C$6,2,FALSE)</f>
        <v>QRIS</v>
      </c>
      <c r="M151" s="2" t="str">
        <f t="shared" si="13"/>
        <v>Baru</v>
      </c>
      <c r="N151" s="8">
        <f t="shared" si="14"/>
        <v>360000</v>
      </c>
      <c r="O151" s="5">
        <f t="shared" si="15"/>
        <v>0</v>
      </c>
      <c r="P151" s="8">
        <f t="shared" si="16"/>
        <v>360000</v>
      </c>
      <c r="Q151" s="8">
        <f>P151-VLOOKUP(MID(A151,5,1),Referensi!$A$1:$C$6,3,FALSE)</f>
        <v>359000</v>
      </c>
      <c r="R151" s="8">
        <f t="shared" si="17"/>
        <v>229000</v>
      </c>
    </row>
    <row r="152" spans="1:18" x14ac:dyDescent="0.2">
      <c r="A152" t="s">
        <v>208</v>
      </c>
      <c r="B152" s="1">
        <v>45412</v>
      </c>
      <c r="C152" s="2" t="s">
        <v>25</v>
      </c>
      <c r="D152" s="2" t="s">
        <v>26</v>
      </c>
      <c r="E152" s="7" t="s">
        <v>434</v>
      </c>
      <c r="F152" s="2" t="s">
        <v>14</v>
      </c>
      <c r="G152" s="2" t="s">
        <v>35</v>
      </c>
      <c r="H152" s="2">
        <v>32</v>
      </c>
      <c r="I152" s="3">
        <v>1010000</v>
      </c>
      <c r="J152" s="3">
        <v>535000</v>
      </c>
      <c r="K152" s="3" t="str">
        <f t="shared" si="12"/>
        <v>Citra Dewi</v>
      </c>
      <c r="L152" s="2" t="str">
        <f>VLOOKUP(MID(A152,5,1),Referensi!$A$1:$C$6,2,FALSE)</f>
        <v>QRIS</v>
      </c>
      <c r="M152" s="2" t="str">
        <f t="shared" si="13"/>
        <v>Lama</v>
      </c>
      <c r="N152" s="8">
        <f t="shared" si="14"/>
        <v>32320000</v>
      </c>
      <c r="O152" s="5">
        <f t="shared" si="15"/>
        <v>0</v>
      </c>
      <c r="P152" s="8">
        <f t="shared" si="16"/>
        <v>32320000</v>
      </c>
      <c r="Q152" s="8">
        <f>P152-VLOOKUP(MID(A152,5,1),Referensi!$A$1:$C$6,3,FALSE)</f>
        <v>32319000</v>
      </c>
      <c r="R152" s="8">
        <f t="shared" si="17"/>
        <v>15199000</v>
      </c>
    </row>
    <row r="153" spans="1:18" x14ac:dyDescent="0.2">
      <c r="A153" t="s">
        <v>209</v>
      </c>
      <c r="B153" s="1">
        <v>45416</v>
      </c>
      <c r="C153" s="2" t="s">
        <v>22</v>
      </c>
      <c r="D153" s="2" t="s">
        <v>23</v>
      </c>
      <c r="E153" s="7" t="s">
        <v>435</v>
      </c>
      <c r="F153" s="2" t="s">
        <v>16</v>
      </c>
      <c r="G153" s="2" t="s">
        <v>24</v>
      </c>
      <c r="H153" s="2">
        <v>5</v>
      </c>
      <c r="I153" s="3">
        <v>370000</v>
      </c>
      <c r="J153" s="3">
        <v>195000</v>
      </c>
      <c r="K153" s="3" t="str">
        <f t="shared" si="12"/>
        <v>Citra Dewi</v>
      </c>
      <c r="L153" s="2" t="str">
        <f>VLOOKUP(MID(A153,5,1),Referensi!$A$1:$C$6,2,FALSE)</f>
        <v>Transfer Bank</v>
      </c>
      <c r="M153" s="2" t="str">
        <f t="shared" si="13"/>
        <v>Lama</v>
      </c>
      <c r="N153" s="8">
        <f t="shared" si="14"/>
        <v>1850000</v>
      </c>
      <c r="O153" s="5">
        <f t="shared" si="15"/>
        <v>0</v>
      </c>
      <c r="P153" s="8">
        <f t="shared" si="16"/>
        <v>1850000</v>
      </c>
      <c r="Q153" s="8">
        <f>P153-VLOOKUP(MID(A153,5,1),Referensi!$A$1:$C$6,3,FALSE)</f>
        <v>1847500</v>
      </c>
      <c r="R153" s="8">
        <f t="shared" si="17"/>
        <v>872500</v>
      </c>
    </row>
    <row r="154" spans="1:18" x14ac:dyDescent="0.2">
      <c r="A154" t="s">
        <v>210</v>
      </c>
      <c r="B154" s="1">
        <v>45419</v>
      </c>
      <c r="C154" s="2" t="s">
        <v>25</v>
      </c>
      <c r="D154" s="2" t="s">
        <v>37</v>
      </c>
      <c r="E154" s="7" t="s">
        <v>436</v>
      </c>
      <c r="F154" s="2" t="s">
        <v>20</v>
      </c>
      <c r="G154" s="2" t="s">
        <v>21</v>
      </c>
      <c r="H154" s="2">
        <v>36</v>
      </c>
      <c r="I154" s="3">
        <v>145000</v>
      </c>
      <c r="J154" s="3">
        <v>62000</v>
      </c>
      <c r="K154" s="3" t="str">
        <f t="shared" si="12"/>
        <v>Dewi Lestari</v>
      </c>
      <c r="L154" s="2" t="str">
        <f>VLOOKUP(MID(A154,5,1),Referensi!$A$1:$C$6,2,FALSE)</f>
        <v>QRIS</v>
      </c>
      <c r="M154" s="2" t="str">
        <f t="shared" si="13"/>
        <v>Lama</v>
      </c>
      <c r="N154" s="8">
        <f t="shared" si="14"/>
        <v>5220000</v>
      </c>
      <c r="O154" s="5">
        <f t="shared" si="15"/>
        <v>0</v>
      </c>
      <c r="P154" s="8">
        <f t="shared" si="16"/>
        <v>5220000</v>
      </c>
      <c r="Q154" s="8">
        <f>P154-VLOOKUP(MID(A154,5,1),Referensi!$A$1:$C$6,3,FALSE)</f>
        <v>5219000</v>
      </c>
      <c r="R154" s="8">
        <f t="shared" si="17"/>
        <v>2987000</v>
      </c>
    </row>
    <row r="155" spans="1:18" x14ac:dyDescent="0.2">
      <c r="A155" t="s">
        <v>211</v>
      </c>
      <c r="B155" s="1">
        <v>45419</v>
      </c>
      <c r="C155" s="2" t="s">
        <v>22</v>
      </c>
      <c r="D155" s="2" t="s">
        <v>23</v>
      </c>
      <c r="E155" s="7" t="s">
        <v>437</v>
      </c>
      <c r="F155" s="2" t="s">
        <v>20</v>
      </c>
      <c r="G155" s="2" t="s">
        <v>21</v>
      </c>
      <c r="H155" s="2">
        <v>30</v>
      </c>
      <c r="I155" s="3">
        <v>145000</v>
      </c>
      <c r="J155" s="3">
        <v>62000</v>
      </c>
      <c r="K155" s="3" t="str">
        <f t="shared" si="12"/>
        <v>Hesti Wulandari</v>
      </c>
      <c r="L155" s="2" t="str">
        <f>VLOOKUP(MID(A155,5,1),Referensi!$A$1:$C$6,2,FALSE)</f>
        <v>QRIS</v>
      </c>
      <c r="M155" s="2" t="str">
        <f t="shared" si="13"/>
        <v>Lama</v>
      </c>
      <c r="N155" s="8">
        <f t="shared" si="14"/>
        <v>4350000</v>
      </c>
      <c r="O155" s="5">
        <f t="shared" si="15"/>
        <v>0</v>
      </c>
      <c r="P155" s="8">
        <f t="shared" si="16"/>
        <v>4350000</v>
      </c>
      <c r="Q155" s="8">
        <f>P155-VLOOKUP(MID(A155,5,1),Referensi!$A$1:$C$6,3,FALSE)</f>
        <v>4349000</v>
      </c>
      <c r="R155" s="8">
        <f t="shared" si="17"/>
        <v>2489000</v>
      </c>
    </row>
    <row r="156" spans="1:18" x14ac:dyDescent="0.2">
      <c r="A156" t="s">
        <v>212</v>
      </c>
      <c r="B156" s="1">
        <v>45419</v>
      </c>
      <c r="C156" s="2" t="s">
        <v>12</v>
      </c>
      <c r="D156" s="2" t="s">
        <v>33</v>
      </c>
      <c r="E156" s="7" t="s">
        <v>438</v>
      </c>
      <c r="F156" s="2" t="s">
        <v>20</v>
      </c>
      <c r="G156" s="2" t="s">
        <v>45</v>
      </c>
      <c r="H156" s="2">
        <v>26</v>
      </c>
      <c r="I156" s="3">
        <v>36000</v>
      </c>
      <c r="J156" s="3">
        <v>13000</v>
      </c>
      <c r="K156" s="3" t="str">
        <f t="shared" si="12"/>
        <v>Hesti Wulandari</v>
      </c>
      <c r="L156" s="2" t="str">
        <f>VLOOKUP(MID(A156,5,1),Referensi!$A$1:$C$6,2,FALSE)</f>
        <v>Transfer Bank</v>
      </c>
      <c r="M156" s="2" t="str">
        <f t="shared" si="13"/>
        <v>Lama</v>
      </c>
      <c r="N156" s="8">
        <f t="shared" si="14"/>
        <v>936000</v>
      </c>
      <c r="O156" s="5">
        <f t="shared" si="15"/>
        <v>0</v>
      </c>
      <c r="P156" s="8">
        <f t="shared" si="16"/>
        <v>936000</v>
      </c>
      <c r="Q156" s="8">
        <f>P156-VLOOKUP(MID(A156,5,1),Referensi!$A$1:$C$6,3,FALSE)</f>
        <v>933500</v>
      </c>
      <c r="R156" s="8">
        <f t="shared" si="17"/>
        <v>595500</v>
      </c>
    </row>
    <row r="157" spans="1:18" x14ac:dyDescent="0.2">
      <c r="A157" t="s">
        <v>213</v>
      </c>
      <c r="B157" s="1">
        <v>45419</v>
      </c>
      <c r="C157" s="2" t="s">
        <v>25</v>
      </c>
      <c r="D157" s="2" t="s">
        <v>26</v>
      </c>
      <c r="E157" s="7" t="s">
        <v>439</v>
      </c>
      <c r="F157" s="2" t="s">
        <v>27</v>
      </c>
      <c r="G157" s="2" t="s">
        <v>28</v>
      </c>
      <c r="H157" s="2">
        <v>2</v>
      </c>
      <c r="I157" s="3">
        <v>295000</v>
      </c>
      <c r="J157" s="3">
        <v>138000</v>
      </c>
      <c r="K157" s="3" t="str">
        <f t="shared" si="12"/>
        <v>Eko Prasetyo</v>
      </c>
      <c r="L157" s="2" t="str">
        <f>VLOOKUP(MID(A157,5,1),Referensi!$A$1:$C$6,2,FALSE)</f>
        <v>Tunai</v>
      </c>
      <c r="M157" s="2" t="str">
        <f t="shared" si="13"/>
        <v>Lama</v>
      </c>
      <c r="N157" s="8">
        <f t="shared" si="14"/>
        <v>590000</v>
      </c>
      <c r="O157" s="5">
        <f t="shared" si="15"/>
        <v>0</v>
      </c>
      <c r="P157" s="8">
        <f t="shared" si="16"/>
        <v>590000</v>
      </c>
      <c r="Q157" s="8">
        <f>P157-VLOOKUP(MID(A157,5,1),Referensi!$A$1:$C$6,3,FALSE)</f>
        <v>590000</v>
      </c>
      <c r="R157" s="8">
        <f t="shared" si="17"/>
        <v>314000</v>
      </c>
    </row>
    <row r="158" spans="1:18" x14ac:dyDescent="0.2">
      <c r="A158" t="s">
        <v>214</v>
      </c>
      <c r="B158" s="1">
        <v>45420</v>
      </c>
      <c r="C158" s="2" t="s">
        <v>12</v>
      </c>
      <c r="D158" s="2" t="s">
        <v>13</v>
      </c>
      <c r="E158" s="7" t="s">
        <v>440</v>
      </c>
      <c r="F158" s="2" t="s">
        <v>16</v>
      </c>
      <c r="G158" s="2" t="s">
        <v>36</v>
      </c>
      <c r="H158" s="2">
        <v>34</v>
      </c>
      <c r="I158" s="3">
        <v>280000</v>
      </c>
      <c r="J158" s="3">
        <v>130000</v>
      </c>
      <c r="K158" s="3" t="str">
        <f t="shared" si="12"/>
        <v>Hesti Wulandari</v>
      </c>
      <c r="L158" s="2" t="str">
        <f>VLOOKUP(MID(A158,5,1),Referensi!$A$1:$C$6,2,FALSE)</f>
        <v>Kartu Debit</v>
      </c>
      <c r="M158" s="2" t="str">
        <f t="shared" si="13"/>
        <v>Baru</v>
      </c>
      <c r="N158" s="8">
        <f t="shared" si="14"/>
        <v>9520000</v>
      </c>
      <c r="O158" s="5">
        <f t="shared" si="15"/>
        <v>0</v>
      </c>
      <c r="P158" s="8">
        <f t="shared" si="16"/>
        <v>9520000</v>
      </c>
      <c r="Q158" s="8">
        <f>P158-VLOOKUP(MID(A158,5,1),Referensi!$A$1:$C$6,3,FALSE)</f>
        <v>9513500</v>
      </c>
      <c r="R158" s="8">
        <f t="shared" si="17"/>
        <v>5093500</v>
      </c>
    </row>
    <row r="159" spans="1:18" x14ac:dyDescent="0.2">
      <c r="A159" t="s">
        <v>215</v>
      </c>
      <c r="B159" s="1">
        <v>45421</v>
      </c>
      <c r="C159" s="2" t="s">
        <v>25</v>
      </c>
      <c r="D159" s="2" t="s">
        <v>26</v>
      </c>
      <c r="E159" s="7" t="s">
        <v>441</v>
      </c>
      <c r="F159" s="2" t="s">
        <v>16</v>
      </c>
      <c r="G159" s="2" t="s">
        <v>32</v>
      </c>
      <c r="H159" s="2">
        <v>28</v>
      </c>
      <c r="I159" s="3">
        <v>420000</v>
      </c>
      <c r="J159" s="3">
        <v>225000</v>
      </c>
      <c r="K159" s="3" t="str">
        <f t="shared" si="12"/>
        <v>Andi Saputra</v>
      </c>
      <c r="L159" s="2" t="str">
        <f>VLOOKUP(MID(A159,5,1),Referensi!$A$1:$C$6,2,FALSE)</f>
        <v>Transfer Bank</v>
      </c>
      <c r="M159" s="2" t="str">
        <f t="shared" si="13"/>
        <v>Baru</v>
      </c>
      <c r="N159" s="8">
        <f t="shared" si="14"/>
        <v>11760000</v>
      </c>
      <c r="O159" s="5">
        <f t="shared" si="15"/>
        <v>0</v>
      </c>
      <c r="P159" s="8">
        <f t="shared" si="16"/>
        <v>11760000</v>
      </c>
      <c r="Q159" s="8">
        <f>P159-VLOOKUP(MID(A159,5,1),Referensi!$A$1:$C$6,3,FALSE)</f>
        <v>11757500</v>
      </c>
      <c r="R159" s="8">
        <f t="shared" si="17"/>
        <v>5457500</v>
      </c>
    </row>
    <row r="160" spans="1:18" x14ac:dyDescent="0.2">
      <c r="A160" t="s">
        <v>216</v>
      </c>
      <c r="B160" s="1">
        <v>45421</v>
      </c>
      <c r="C160" s="2" t="s">
        <v>18</v>
      </c>
      <c r="D160" s="2" t="s">
        <v>40</v>
      </c>
      <c r="E160" s="7" t="s">
        <v>442</v>
      </c>
      <c r="F160" s="2" t="s">
        <v>16</v>
      </c>
      <c r="G160" s="2" t="s">
        <v>24</v>
      </c>
      <c r="H160" s="2">
        <v>39</v>
      </c>
      <c r="I160" s="3">
        <v>370000</v>
      </c>
      <c r="J160" s="3">
        <v>195000</v>
      </c>
      <c r="K160" s="3" t="str">
        <f t="shared" si="12"/>
        <v>Fitri Handayani</v>
      </c>
      <c r="L160" s="2" t="str">
        <f>VLOOKUP(MID(A160,5,1),Referensi!$A$1:$C$6,2,FALSE)</f>
        <v>Kartu Debit</v>
      </c>
      <c r="M160" s="2" t="str">
        <f t="shared" si="13"/>
        <v>Baru</v>
      </c>
      <c r="N160" s="8">
        <f t="shared" si="14"/>
        <v>14430000</v>
      </c>
      <c r="O160" s="5">
        <f t="shared" si="15"/>
        <v>0</v>
      </c>
      <c r="P160" s="8">
        <f t="shared" si="16"/>
        <v>14430000</v>
      </c>
      <c r="Q160" s="8">
        <f>P160-VLOOKUP(MID(A160,5,1),Referensi!$A$1:$C$6,3,FALSE)</f>
        <v>14423500</v>
      </c>
      <c r="R160" s="8">
        <f t="shared" si="17"/>
        <v>6818500</v>
      </c>
    </row>
    <row r="161" spans="1:18" x14ac:dyDescent="0.2">
      <c r="A161" t="s">
        <v>217</v>
      </c>
      <c r="B161" s="1">
        <v>45421</v>
      </c>
      <c r="C161" s="2" t="s">
        <v>25</v>
      </c>
      <c r="D161" s="2" t="s">
        <v>26</v>
      </c>
      <c r="E161" s="7" t="s">
        <v>443</v>
      </c>
      <c r="F161" s="2" t="s">
        <v>16</v>
      </c>
      <c r="G161" s="2" t="s">
        <v>24</v>
      </c>
      <c r="H161" s="2">
        <v>7</v>
      </c>
      <c r="I161" s="3">
        <v>370000</v>
      </c>
      <c r="J161" s="3">
        <v>195000</v>
      </c>
      <c r="K161" s="3" t="str">
        <f t="shared" si="12"/>
        <v>Budi Santoso</v>
      </c>
      <c r="L161" s="2" t="str">
        <f>VLOOKUP(MID(A161,5,1),Referensi!$A$1:$C$6,2,FALSE)</f>
        <v>Kartu Kredit</v>
      </c>
      <c r="M161" s="2" t="str">
        <f t="shared" si="13"/>
        <v>Baru</v>
      </c>
      <c r="N161" s="8">
        <f t="shared" si="14"/>
        <v>2590000</v>
      </c>
      <c r="O161" s="5">
        <f t="shared" si="15"/>
        <v>0</v>
      </c>
      <c r="P161" s="8">
        <f t="shared" si="16"/>
        <v>2590000</v>
      </c>
      <c r="Q161" s="8">
        <f>P161-VLOOKUP(MID(A161,5,1),Referensi!$A$1:$C$6,3,FALSE)</f>
        <v>2580000</v>
      </c>
      <c r="R161" s="8">
        <f t="shared" si="17"/>
        <v>1215000</v>
      </c>
    </row>
    <row r="162" spans="1:18" x14ac:dyDescent="0.2">
      <c r="A162" t="s">
        <v>218</v>
      </c>
      <c r="B162" s="1">
        <v>45422</v>
      </c>
      <c r="C162" s="2" t="s">
        <v>18</v>
      </c>
      <c r="D162" s="2" t="s">
        <v>19</v>
      </c>
      <c r="E162" s="7" t="s">
        <v>444</v>
      </c>
      <c r="F162" s="2" t="s">
        <v>16</v>
      </c>
      <c r="G162" s="2" t="s">
        <v>32</v>
      </c>
      <c r="H162" s="2">
        <v>16</v>
      </c>
      <c r="I162" s="3">
        <v>420000</v>
      </c>
      <c r="J162" s="3">
        <v>225000</v>
      </c>
      <c r="K162" s="3" t="str">
        <f t="shared" si="12"/>
        <v>Budi Santoso</v>
      </c>
      <c r="L162" s="2" t="str">
        <f>VLOOKUP(MID(A162,5,1),Referensi!$A$1:$C$6,2,FALSE)</f>
        <v>Tunai</v>
      </c>
      <c r="M162" s="2" t="str">
        <f t="shared" si="13"/>
        <v>Baru</v>
      </c>
      <c r="N162" s="8">
        <f t="shared" si="14"/>
        <v>6720000</v>
      </c>
      <c r="O162" s="5">
        <f t="shared" si="15"/>
        <v>0</v>
      </c>
      <c r="P162" s="8">
        <f t="shared" si="16"/>
        <v>6720000</v>
      </c>
      <c r="Q162" s="8">
        <f>P162-VLOOKUP(MID(A162,5,1),Referensi!$A$1:$C$6,3,FALSE)</f>
        <v>6720000</v>
      </c>
      <c r="R162" s="8">
        <f t="shared" si="17"/>
        <v>3120000</v>
      </c>
    </row>
    <row r="163" spans="1:18" x14ac:dyDescent="0.2">
      <c r="A163" t="s">
        <v>219</v>
      </c>
      <c r="B163" s="1">
        <v>45422</v>
      </c>
      <c r="C163" s="2" t="s">
        <v>18</v>
      </c>
      <c r="D163" s="2" t="s">
        <v>40</v>
      </c>
      <c r="E163" s="7" t="s">
        <v>445</v>
      </c>
      <c r="F163" s="2" t="s">
        <v>14</v>
      </c>
      <c r="G163" s="2" t="s">
        <v>15</v>
      </c>
      <c r="H163" s="2">
        <v>23</v>
      </c>
      <c r="I163" s="3">
        <v>2290000</v>
      </c>
      <c r="J163" s="3">
        <v>1290000</v>
      </c>
      <c r="K163" s="3" t="str">
        <f t="shared" si="12"/>
        <v>Dewi Lestari</v>
      </c>
      <c r="L163" s="2" t="str">
        <f>VLOOKUP(MID(A163,5,1),Referensi!$A$1:$C$6,2,FALSE)</f>
        <v>Kartu Debit</v>
      </c>
      <c r="M163" s="2" t="str">
        <f t="shared" si="13"/>
        <v>Lama</v>
      </c>
      <c r="N163" s="8">
        <f t="shared" si="14"/>
        <v>52670000</v>
      </c>
      <c r="O163" s="5">
        <f t="shared" si="15"/>
        <v>0.15</v>
      </c>
      <c r="P163" s="8">
        <f t="shared" si="16"/>
        <v>44769500</v>
      </c>
      <c r="Q163" s="8">
        <f>P163-VLOOKUP(MID(A163,5,1),Referensi!$A$1:$C$6,3,FALSE)</f>
        <v>44763000</v>
      </c>
      <c r="R163" s="8">
        <f t="shared" si="17"/>
        <v>15093000</v>
      </c>
    </row>
    <row r="164" spans="1:18" x14ac:dyDescent="0.2">
      <c r="A164" t="s">
        <v>220</v>
      </c>
      <c r="B164" s="1">
        <v>45423</v>
      </c>
      <c r="C164" s="2" t="s">
        <v>18</v>
      </c>
      <c r="D164" s="2" t="s">
        <v>40</v>
      </c>
      <c r="E164" s="7" t="s">
        <v>446</v>
      </c>
      <c r="F164" s="2" t="s">
        <v>14</v>
      </c>
      <c r="G164" s="2" t="s">
        <v>35</v>
      </c>
      <c r="H164" s="2">
        <v>4</v>
      </c>
      <c r="I164" s="3">
        <v>1010000</v>
      </c>
      <c r="J164" s="3">
        <v>535000</v>
      </c>
      <c r="K164" s="3" t="str">
        <f t="shared" si="12"/>
        <v>Hesti Wulandari</v>
      </c>
      <c r="L164" s="2" t="str">
        <f>VLOOKUP(MID(A164,5,1),Referensi!$A$1:$C$6,2,FALSE)</f>
        <v>Tunai</v>
      </c>
      <c r="M164" s="2" t="str">
        <f t="shared" si="13"/>
        <v>Lama</v>
      </c>
      <c r="N164" s="8">
        <f t="shared" si="14"/>
        <v>4040000</v>
      </c>
      <c r="O164" s="5">
        <f t="shared" si="15"/>
        <v>0</v>
      </c>
      <c r="P164" s="8">
        <f t="shared" si="16"/>
        <v>4040000</v>
      </c>
      <c r="Q164" s="8">
        <f>P164-VLOOKUP(MID(A164,5,1),Referensi!$A$1:$C$6,3,FALSE)</f>
        <v>4040000</v>
      </c>
      <c r="R164" s="8">
        <f t="shared" si="17"/>
        <v>1900000</v>
      </c>
    </row>
    <row r="165" spans="1:18" x14ac:dyDescent="0.2">
      <c r="A165" t="s">
        <v>221</v>
      </c>
      <c r="B165" s="1">
        <v>45425</v>
      </c>
      <c r="C165" s="2" t="s">
        <v>25</v>
      </c>
      <c r="D165" s="2" t="s">
        <v>37</v>
      </c>
      <c r="E165" s="7" t="s">
        <v>447</v>
      </c>
      <c r="F165" s="2" t="s">
        <v>27</v>
      </c>
      <c r="G165" s="2" t="s">
        <v>30</v>
      </c>
      <c r="H165" s="2">
        <v>5</v>
      </c>
      <c r="I165" s="3">
        <v>110000</v>
      </c>
      <c r="J165" s="3">
        <v>46000</v>
      </c>
      <c r="K165" s="3" t="str">
        <f t="shared" si="12"/>
        <v>Eko Prasetyo</v>
      </c>
      <c r="L165" s="2" t="str">
        <f>VLOOKUP(MID(A165,5,1),Referensi!$A$1:$C$6,2,FALSE)</f>
        <v>Kartu Kredit</v>
      </c>
      <c r="M165" s="2" t="str">
        <f t="shared" si="13"/>
        <v>Baru</v>
      </c>
      <c r="N165" s="8">
        <f t="shared" si="14"/>
        <v>550000</v>
      </c>
      <c r="O165" s="5">
        <f t="shared" si="15"/>
        <v>0</v>
      </c>
      <c r="P165" s="8">
        <f t="shared" si="16"/>
        <v>550000</v>
      </c>
      <c r="Q165" s="8">
        <f>P165-VLOOKUP(MID(A165,5,1),Referensi!$A$1:$C$6,3,FALSE)</f>
        <v>540000</v>
      </c>
      <c r="R165" s="8">
        <f t="shared" si="17"/>
        <v>310000</v>
      </c>
    </row>
    <row r="166" spans="1:18" x14ac:dyDescent="0.2">
      <c r="A166" t="s">
        <v>222</v>
      </c>
      <c r="B166" s="1">
        <v>45425</v>
      </c>
      <c r="C166" s="2" t="s">
        <v>12</v>
      </c>
      <c r="D166" s="2" t="s">
        <v>33</v>
      </c>
      <c r="E166" s="7" t="s">
        <v>448</v>
      </c>
      <c r="F166" s="2" t="s">
        <v>14</v>
      </c>
      <c r="G166" s="2" t="s">
        <v>35</v>
      </c>
      <c r="H166" s="2">
        <v>38</v>
      </c>
      <c r="I166" s="3">
        <v>1010000</v>
      </c>
      <c r="J166" s="3">
        <v>535000</v>
      </c>
      <c r="K166" s="3" t="str">
        <f t="shared" si="12"/>
        <v>Hesti Wulandari</v>
      </c>
      <c r="L166" s="2" t="str">
        <f>VLOOKUP(MID(A166,5,1),Referensi!$A$1:$C$6,2,FALSE)</f>
        <v>Kartu Debit</v>
      </c>
      <c r="M166" s="2" t="str">
        <f t="shared" si="13"/>
        <v>Baru</v>
      </c>
      <c r="N166" s="8">
        <f t="shared" si="14"/>
        <v>38380000</v>
      </c>
      <c r="O166" s="5">
        <f t="shared" si="15"/>
        <v>0.1</v>
      </c>
      <c r="P166" s="8">
        <f t="shared" si="16"/>
        <v>34542000</v>
      </c>
      <c r="Q166" s="8">
        <f>P166-VLOOKUP(MID(A166,5,1),Referensi!$A$1:$C$6,3,FALSE)</f>
        <v>34535500</v>
      </c>
      <c r="R166" s="8">
        <f t="shared" si="17"/>
        <v>14205500</v>
      </c>
    </row>
    <row r="167" spans="1:18" x14ac:dyDescent="0.2">
      <c r="A167" t="s">
        <v>223</v>
      </c>
      <c r="B167" s="1">
        <v>45426</v>
      </c>
      <c r="C167" s="2" t="s">
        <v>18</v>
      </c>
      <c r="D167" s="2" t="s">
        <v>40</v>
      </c>
      <c r="E167" s="7" t="s">
        <v>449</v>
      </c>
      <c r="F167" s="2" t="s">
        <v>27</v>
      </c>
      <c r="G167" s="2" t="s">
        <v>28</v>
      </c>
      <c r="H167" s="2">
        <v>29</v>
      </c>
      <c r="I167" s="3">
        <v>295000</v>
      </c>
      <c r="J167" s="3">
        <v>138000</v>
      </c>
      <c r="K167" s="3" t="str">
        <f t="shared" si="12"/>
        <v>Budi Santoso</v>
      </c>
      <c r="L167" s="2" t="str">
        <f>VLOOKUP(MID(A167,5,1),Referensi!$A$1:$C$6,2,FALSE)</f>
        <v>Tunai</v>
      </c>
      <c r="M167" s="2" t="str">
        <f t="shared" si="13"/>
        <v>Baru</v>
      </c>
      <c r="N167" s="8">
        <f t="shared" si="14"/>
        <v>8555000</v>
      </c>
      <c r="O167" s="5">
        <f t="shared" si="15"/>
        <v>0</v>
      </c>
      <c r="P167" s="8">
        <f t="shared" si="16"/>
        <v>8555000</v>
      </c>
      <c r="Q167" s="8">
        <f>P167-VLOOKUP(MID(A167,5,1),Referensi!$A$1:$C$6,3,FALSE)</f>
        <v>8555000</v>
      </c>
      <c r="R167" s="8">
        <f t="shared" si="17"/>
        <v>4553000</v>
      </c>
    </row>
    <row r="168" spans="1:18" x14ac:dyDescent="0.2">
      <c r="A168" t="s">
        <v>224</v>
      </c>
      <c r="B168" s="1">
        <v>45426</v>
      </c>
      <c r="C168" s="2" t="s">
        <v>18</v>
      </c>
      <c r="D168" s="2" t="s">
        <v>31</v>
      </c>
      <c r="E168" s="7" t="s">
        <v>450</v>
      </c>
      <c r="F168" s="2" t="s">
        <v>14</v>
      </c>
      <c r="G168" s="2" t="s">
        <v>39</v>
      </c>
      <c r="H168" s="2">
        <v>15</v>
      </c>
      <c r="I168" s="3">
        <v>1190000</v>
      </c>
      <c r="J168" s="3">
        <v>630000</v>
      </c>
      <c r="K168" s="3" t="str">
        <f t="shared" si="12"/>
        <v>Eko Prasetyo</v>
      </c>
      <c r="L168" s="2" t="str">
        <f>VLOOKUP(MID(A168,5,1),Referensi!$A$1:$C$6,2,FALSE)</f>
        <v>Transfer Bank</v>
      </c>
      <c r="M168" s="2" t="str">
        <f t="shared" si="13"/>
        <v>Lama</v>
      </c>
      <c r="N168" s="8">
        <f t="shared" si="14"/>
        <v>17850000</v>
      </c>
      <c r="O168" s="5">
        <f t="shared" si="15"/>
        <v>0</v>
      </c>
      <c r="P168" s="8">
        <f t="shared" si="16"/>
        <v>17850000</v>
      </c>
      <c r="Q168" s="8">
        <f>P168-VLOOKUP(MID(A168,5,1),Referensi!$A$1:$C$6,3,FALSE)</f>
        <v>17847500</v>
      </c>
      <c r="R168" s="8">
        <f t="shared" si="17"/>
        <v>8397500</v>
      </c>
    </row>
    <row r="169" spans="1:18" x14ac:dyDescent="0.2">
      <c r="A169" t="s">
        <v>225</v>
      </c>
      <c r="B169" s="1">
        <v>45426</v>
      </c>
      <c r="C169" s="2" t="s">
        <v>25</v>
      </c>
      <c r="D169" s="2" t="s">
        <v>26</v>
      </c>
      <c r="E169" s="7" t="s">
        <v>451</v>
      </c>
      <c r="F169" s="2" t="s">
        <v>16</v>
      </c>
      <c r="G169" s="2" t="s">
        <v>24</v>
      </c>
      <c r="H169" s="2">
        <v>21</v>
      </c>
      <c r="I169" s="3">
        <v>370000</v>
      </c>
      <c r="J169" s="3">
        <v>195000</v>
      </c>
      <c r="K169" s="3" t="str">
        <f t="shared" si="12"/>
        <v>Budi Santoso</v>
      </c>
      <c r="L169" s="2" t="str">
        <f>VLOOKUP(MID(A169,5,1),Referensi!$A$1:$C$6,2,FALSE)</f>
        <v>QRIS</v>
      </c>
      <c r="M169" s="2" t="str">
        <f t="shared" si="13"/>
        <v>Baru</v>
      </c>
      <c r="N169" s="8">
        <f t="shared" si="14"/>
        <v>7770000</v>
      </c>
      <c r="O169" s="5">
        <f t="shared" si="15"/>
        <v>0</v>
      </c>
      <c r="P169" s="8">
        <f t="shared" si="16"/>
        <v>7770000</v>
      </c>
      <c r="Q169" s="8">
        <f>P169-VLOOKUP(MID(A169,5,1),Referensi!$A$1:$C$6,3,FALSE)</f>
        <v>7769000</v>
      </c>
      <c r="R169" s="8">
        <f t="shared" si="17"/>
        <v>3674000</v>
      </c>
    </row>
    <row r="170" spans="1:18" x14ac:dyDescent="0.2">
      <c r="A170" t="s">
        <v>226</v>
      </c>
      <c r="B170" s="1">
        <v>45427</v>
      </c>
      <c r="C170" s="2" t="s">
        <v>12</v>
      </c>
      <c r="D170" s="2" t="s">
        <v>13</v>
      </c>
      <c r="E170" s="7" t="s">
        <v>452</v>
      </c>
      <c r="F170" s="2" t="s">
        <v>27</v>
      </c>
      <c r="G170" s="2" t="s">
        <v>28</v>
      </c>
      <c r="H170" s="2">
        <v>19</v>
      </c>
      <c r="I170" s="3">
        <v>295000</v>
      </c>
      <c r="J170" s="3">
        <v>138000</v>
      </c>
      <c r="K170" s="3" t="str">
        <f t="shared" si="12"/>
        <v>Eko Prasetyo</v>
      </c>
      <c r="L170" s="2" t="str">
        <f>VLOOKUP(MID(A170,5,1),Referensi!$A$1:$C$6,2,FALSE)</f>
        <v>Transfer Bank</v>
      </c>
      <c r="M170" s="2" t="str">
        <f t="shared" si="13"/>
        <v>Lama</v>
      </c>
      <c r="N170" s="8">
        <f t="shared" si="14"/>
        <v>5605000</v>
      </c>
      <c r="O170" s="5">
        <f t="shared" si="15"/>
        <v>0</v>
      </c>
      <c r="P170" s="8">
        <f t="shared" si="16"/>
        <v>5605000</v>
      </c>
      <c r="Q170" s="8">
        <f>P170-VLOOKUP(MID(A170,5,1),Referensi!$A$1:$C$6,3,FALSE)</f>
        <v>5602500</v>
      </c>
      <c r="R170" s="8">
        <f t="shared" si="17"/>
        <v>2980500</v>
      </c>
    </row>
    <row r="171" spans="1:18" x14ac:dyDescent="0.2">
      <c r="A171" t="s">
        <v>227</v>
      </c>
      <c r="B171" s="1">
        <v>45427</v>
      </c>
      <c r="C171" s="2" t="s">
        <v>25</v>
      </c>
      <c r="D171" s="2" t="s">
        <v>37</v>
      </c>
      <c r="E171" s="7" t="s">
        <v>453</v>
      </c>
      <c r="F171" s="2" t="s">
        <v>20</v>
      </c>
      <c r="G171" s="2" t="s">
        <v>45</v>
      </c>
      <c r="H171" s="2">
        <v>20</v>
      </c>
      <c r="I171" s="3">
        <v>36000</v>
      </c>
      <c r="J171" s="3">
        <v>13000</v>
      </c>
      <c r="K171" s="3" t="str">
        <f t="shared" si="12"/>
        <v>Eko Prasetyo</v>
      </c>
      <c r="L171" s="2" t="str">
        <f>VLOOKUP(MID(A171,5,1),Referensi!$A$1:$C$6,2,FALSE)</f>
        <v>QRIS</v>
      </c>
      <c r="M171" s="2" t="str">
        <f t="shared" si="13"/>
        <v>Baru</v>
      </c>
      <c r="N171" s="8">
        <f t="shared" si="14"/>
        <v>720000</v>
      </c>
      <c r="O171" s="5">
        <f t="shared" si="15"/>
        <v>0</v>
      </c>
      <c r="P171" s="8">
        <f t="shared" si="16"/>
        <v>720000</v>
      </c>
      <c r="Q171" s="8">
        <f>P171-VLOOKUP(MID(A171,5,1),Referensi!$A$1:$C$6,3,FALSE)</f>
        <v>719000</v>
      </c>
      <c r="R171" s="8">
        <f t="shared" si="17"/>
        <v>459000</v>
      </c>
    </row>
    <row r="172" spans="1:18" x14ac:dyDescent="0.2">
      <c r="A172" t="s">
        <v>228</v>
      </c>
      <c r="B172" s="1">
        <v>45429</v>
      </c>
      <c r="C172" s="2" t="s">
        <v>12</v>
      </c>
      <c r="D172" s="2" t="s">
        <v>33</v>
      </c>
      <c r="E172" s="7" t="s">
        <v>454</v>
      </c>
      <c r="F172" s="2" t="s">
        <v>14</v>
      </c>
      <c r="G172" s="2" t="s">
        <v>15</v>
      </c>
      <c r="H172" s="2">
        <v>15</v>
      </c>
      <c r="I172" s="3">
        <v>2290000</v>
      </c>
      <c r="J172" s="3">
        <v>1290000</v>
      </c>
      <c r="K172" s="3" t="str">
        <f t="shared" si="12"/>
        <v>Gilang Ramadhan</v>
      </c>
      <c r="L172" s="2" t="str">
        <f>VLOOKUP(MID(A172,5,1),Referensi!$A$1:$C$6,2,FALSE)</f>
        <v>Transfer Bank</v>
      </c>
      <c r="M172" s="2" t="str">
        <f t="shared" si="13"/>
        <v>Lama</v>
      </c>
      <c r="N172" s="8">
        <f t="shared" si="14"/>
        <v>34350000</v>
      </c>
      <c r="O172" s="5">
        <f t="shared" si="15"/>
        <v>0</v>
      </c>
      <c r="P172" s="8">
        <f t="shared" si="16"/>
        <v>34350000</v>
      </c>
      <c r="Q172" s="8">
        <f>P172-VLOOKUP(MID(A172,5,1),Referensi!$A$1:$C$6,3,FALSE)</f>
        <v>34347500</v>
      </c>
      <c r="R172" s="8">
        <f t="shared" si="17"/>
        <v>14997500</v>
      </c>
    </row>
    <row r="173" spans="1:18" x14ac:dyDescent="0.2">
      <c r="A173" t="s">
        <v>229</v>
      </c>
      <c r="B173" s="1">
        <v>45431</v>
      </c>
      <c r="C173" s="2" t="s">
        <v>25</v>
      </c>
      <c r="D173" s="2" t="s">
        <v>26</v>
      </c>
      <c r="E173" s="7" t="s">
        <v>455</v>
      </c>
      <c r="F173" s="2" t="s">
        <v>20</v>
      </c>
      <c r="G173" s="2" t="s">
        <v>38</v>
      </c>
      <c r="H173" s="2">
        <v>16</v>
      </c>
      <c r="I173" s="3">
        <v>48000</v>
      </c>
      <c r="J173" s="3">
        <v>19000</v>
      </c>
      <c r="K173" s="3" t="str">
        <f t="shared" si="12"/>
        <v>Fitri Handayani</v>
      </c>
      <c r="L173" s="2" t="str">
        <f>VLOOKUP(MID(A173,5,1),Referensi!$A$1:$C$6,2,FALSE)</f>
        <v>QRIS</v>
      </c>
      <c r="M173" s="2" t="str">
        <f t="shared" si="13"/>
        <v>Baru</v>
      </c>
      <c r="N173" s="8">
        <f t="shared" si="14"/>
        <v>768000</v>
      </c>
      <c r="O173" s="5">
        <f t="shared" si="15"/>
        <v>0</v>
      </c>
      <c r="P173" s="8">
        <f t="shared" si="16"/>
        <v>768000</v>
      </c>
      <c r="Q173" s="8">
        <f>P173-VLOOKUP(MID(A173,5,1),Referensi!$A$1:$C$6,3,FALSE)</f>
        <v>767000</v>
      </c>
      <c r="R173" s="8">
        <f t="shared" si="17"/>
        <v>463000</v>
      </c>
    </row>
    <row r="174" spans="1:18" x14ac:dyDescent="0.2">
      <c r="A174" t="s">
        <v>230</v>
      </c>
      <c r="B174" s="1">
        <v>45431</v>
      </c>
      <c r="C174" s="2" t="s">
        <v>12</v>
      </c>
      <c r="D174" s="2" t="s">
        <v>13</v>
      </c>
      <c r="E174" s="7" t="s">
        <v>456</v>
      </c>
      <c r="F174" s="2" t="s">
        <v>20</v>
      </c>
      <c r="G174" s="2" t="s">
        <v>21</v>
      </c>
      <c r="H174" s="2">
        <v>13</v>
      </c>
      <c r="I174" s="3">
        <v>145000</v>
      </c>
      <c r="J174" s="3">
        <v>62000</v>
      </c>
      <c r="K174" s="3" t="str">
        <f t="shared" si="12"/>
        <v>Gilang Ramadhan</v>
      </c>
      <c r="L174" s="2" t="str">
        <f>VLOOKUP(MID(A174,5,1),Referensi!$A$1:$C$6,2,FALSE)</f>
        <v>QRIS</v>
      </c>
      <c r="M174" s="2" t="str">
        <f t="shared" si="13"/>
        <v>Lama</v>
      </c>
      <c r="N174" s="8">
        <f t="shared" si="14"/>
        <v>1885000</v>
      </c>
      <c r="O174" s="5">
        <f t="shared" si="15"/>
        <v>0</v>
      </c>
      <c r="P174" s="8">
        <f t="shared" si="16"/>
        <v>1885000</v>
      </c>
      <c r="Q174" s="8">
        <f>P174-VLOOKUP(MID(A174,5,1),Referensi!$A$1:$C$6,3,FALSE)</f>
        <v>1884000</v>
      </c>
      <c r="R174" s="8">
        <f t="shared" si="17"/>
        <v>1078000</v>
      </c>
    </row>
    <row r="175" spans="1:18" x14ac:dyDescent="0.2">
      <c r="A175" t="s">
        <v>231</v>
      </c>
      <c r="B175" s="1">
        <v>45431</v>
      </c>
      <c r="C175" s="2" t="s">
        <v>12</v>
      </c>
      <c r="D175" s="2" t="s">
        <v>33</v>
      </c>
      <c r="E175" s="7" t="s">
        <v>457</v>
      </c>
      <c r="F175" s="2" t="s">
        <v>16</v>
      </c>
      <c r="G175" s="2" t="s">
        <v>32</v>
      </c>
      <c r="H175" s="2">
        <v>21</v>
      </c>
      <c r="I175" s="3">
        <v>420000</v>
      </c>
      <c r="J175" s="3">
        <v>225000</v>
      </c>
      <c r="K175" s="3" t="str">
        <f t="shared" si="12"/>
        <v>Budi Santoso</v>
      </c>
      <c r="L175" s="2" t="str">
        <f>VLOOKUP(MID(A175,5,1),Referensi!$A$1:$C$6,2,FALSE)</f>
        <v>QRIS</v>
      </c>
      <c r="M175" s="2" t="str">
        <f t="shared" si="13"/>
        <v>Baru</v>
      </c>
      <c r="N175" s="8">
        <f t="shared" si="14"/>
        <v>8820000</v>
      </c>
      <c r="O175" s="5">
        <f t="shared" si="15"/>
        <v>0</v>
      </c>
      <c r="P175" s="8">
        <f t="shared" si="16"/>
        <v>8820000</v>
      </c>
      <c r="Q175" s="8">
        <f>P175-VLOOKUP(MID(A175,5,1),Referensi!$A$1:$C$6,3,FALSE)</f>
        <v>8819000</v>
      </c>
      <c r="R175" s="8">
        <f t="shared" si="17"/>
        <v>4094000</v>
      </c>
    </row>
    <row r="176" spans="1:18" x14ac:dyDescent="0.2">
      <c r="A176" t="s">
        <v>232</v>
      </c>
      <c r="B176" s="1">
        <v>45432</v>
      </c>
      <c r="C176" s="2" t="s">
        <v>18</v>
      </c>
      <c r="D176" s="2" t="s">
        <v>31</v>
      </c>
      <c r="E176" s="7" t="s">
        <v>458</v>
      </c>
      <c r="F176" s="2" t="s">
        <v>14</v>
      </c>
      <c r="G176" s="2" t="s">
        <v>39</v>
      </c>
      <c r="H176" s="2">
        <v>17</v>
      </c>
      <c r="I176" s="3">
        <v>1190000</v>
      </c>
      <c r="J176" s="3">
        <v>630000</v>
      </c>
      <c r="K176" s="3" t="str">
        <f t="shared" si="12"/>
        <v>Budi Santoso</v>
      </c>
      <c r="L176" s="2" t="str">
        <f>VLOOKUP(MID(A176,5,1),Referensi!$A$1:$C$6,2,FALSE)</f>
        <v>QRIS</v>
      </c>
      <c r="M176" s="2" t="str">
        <f t="shared" si="13"/>
        <v>Baru</v>
      </c>
      <c r="N176" s="8">
        <f t="shared" si="14"/>
        <v>20230000</v>
      </c>
      <c r="O176" s="5">
        <f t="shared" si="15"/>
        <v>0.1</v>
      </c>
      <c r="P176" s="8">
        <f t="shared" si="16"/>
        <v>18207000</v>
      </c>
      <c r="Q176" s="8">
        <f>P176-VLOOKUP(MID(A176,5,1),Referensi!$A$1:$C$6,3,FALSE)</f>
        <v>18206000</v>
      </c>
      <c r="R176" s="8">
        <f t="shared" si="17"/>
        <v>7496000</v>
      </c>
    </row>
    <row r="177" spans="1:18" x14ac:dyDescent="0.2">
      <c r="A177" t="s">
        <v>233</v>
      </c>
      <c r="B177" s="1">
        <v>45433</v>
      </c>
      <c r="C177" s="2" t="s">
        <v>22</v>
      </c>
      <c r="D177" s="2" t="s">
        <v>29</v>
      </c>
      <c r="E177" s="7" t="s">
        <v>459</v>
      </c>
      <c r="F177" s="2" t="s">
        <v>20</v>
      </c>
      <c r="G177" s="2" t="s">
        <v>38</v>
      </c>
      <c r="H177" s="2">
        <v>22</v>
      </c>
      <c r="I177" s="3">
        <v>48000</v>
      </c>
      <c r="J177" s="3">
        <v>19000</v>
      </c>
      <c r="K177" s="3" t="str">
        <f t="shared" si="12"/>
        <v>Eko Prasetyo</v>
      </c>
      <c r="L177" s="2" t="str">
        <f>VLOOKUP(MID(A177,5,1),Referensi!$A$1:$C$6,2,FALSE)</f>
        <v>Kartu Kredit</v>
      </c>
      <c r="M177" s="2" t="str">
        <f t="shared" si="13"/>
        <v>Lama</v>
      </c>
      <c r="N177" s="8">
        <f t="shared" si="14"/>
        <v>1056000</v>
      </c>
      <c r="O177" s="5">
        <f t="shared" si="15"/>
        <v>0</v>
      </c>
      <c r="P177" s="8">
        <f t="shared" si="16"/>
        <v>1056000</v>
      </c>
      <c r="Q177" s="8">
        <f>P177-VLOOKUP(MID(A177,5,1),Referensi!$A$1:$C$6,3,FALSE)</f>
        <v>1046000</v>
      </c>
      <c r="R177" s="8">
        <f t="shared" si="17"/>
        <v>628000</v>
      </c>
    </row>
    <row r="178" spans="1:18" x14ac:dyDescent="0.2">
      <c r="A178" t="s">
        <v>234</v>
      </c>
      <c r="B178" s="1">
        <v>45433</v>
      </c>
      <c r="C178" s="2" t="s">
        <v>18</v>
      </c>
      <c r="D178" s="2" t="s">
        <v>31</v>
      </c>
      <c r="E178" s="7" t="s">
        <v>460</v>
      </c>
      <c r="F178" s="2" t="s">
        <v>16</v>
      </c>
      <c r="G178" s="2" t="s">
        <v>44</v>
      </c>
      <c r="H178" s="2">
        <v>25</v>
      </c>
      <c r="I178" s="3">
        <v>320000</v>
      </c>
      <c r="J178" s="3">
        <v>160000</v>
      </c>
      <c r="K178" s="3" t="str">
        <f t="shared" si="12"/>
        <v>Hesti Wulandari</v>
      </c>
      <c r="L178" s="2" t="str">
        <f>VLOOKUP(MID(A178,5,1),Referensi!$A$1:$C$6,2,FALSE)</f>
        <v>Transfer Bank</v>
      </c>
      <c r="M178" s="2" t="str">
        <f t="shared" si="13"/>
        <v>Baru</v>
      </c>
      <c r="N178" s="8">
        <f t="shared" si="14"/>
        <v>8000000</v>
      </c>
      <c r="O178" s="5">
        <f t="shared" si="15"/>
        <v>0</v>
      </c>
      <c r="P178" s="8">
        <f t="shared" si="16"/>
        <v>8000000</v>
      </c>
      <c r="Q178" s="8">
        <f>P178-VLOOKUP(MID(A178,5,1),Referensi!$A$1:$C$6,3,FALSE)</f>
        <v>7997500</v>
      </c>
      <c r="R178" s="8">
        <f t="shared" si="17"/>
        <v>3997500</v>
      </c>
    </row>
    <row r="179" spans="1:18" x14ac:dyDescent="0.2">
      <c r="A179" t="s">
        <v>235</v>
      </c>
      <c r="B179" s="1">
        <v>45433</v>
      </c>
      <c r="C179" s="2" t="s">
        <v>12</v>
      </c>
      <c r="D179" s="2" t="s">
        <v>33</v>
      </c>
      <c r="E179" s="7" t="s">
        <v>461</v>
      </c>
      <c r="F179" s="2" t="s">
        <v>16</v>
      </c>
      <c r="G179" s="2" t="s">
        <v>32</v>
      </c>
      <c r="H179" s="2">
        <v>5</v>
      </c>
      <c r="I179" s="3">
        <v>420000</v>
      </c>
      <c r="J179" s="3">
        <v>225000</v>
      </c>
      <c r="K179" s="3" t="str">
        <f t="shared" si="12"/>
        <v>Citra Dewi</v>
      </c>
      <c r="L179" s="2" t="str">
        <f>VLOOKUP(MID(A179,5,1),Referensi!$A$1:$C$6,2,FALSE)</f>
        <v>QRIS</v>
      </c>
      <c r="M179" s="2" t="str">
        <f t="shared" si="13"/>
        <v>Baru</v>
      </c>
      <c r="N179" s="8">
        <f t="shared" si="14"/>
        <v>2100000</v>
      </c>
      <c r="O179" s="5">
        <f t="shared" si="15"/>
        <v>0</v>
      </c>
      <c r="P179" s="8">
        <f t="shared" si="16"/>
        <v>2100000</v>
      </c>
      <c r="Q179" s="8">
        <f>P179-VLOOKUP(MID(A179,5,1),Referensi!$A$1:$C$6,3,FALSE)</f>
        <v>2099000</v>
      </c>
      <c r="R179" s="8">
        <f t="shared" si="17"/>
        <v>974000</v>
      </c>
    </row>
    <row r="180" spans="1:18" x14ac:dyDescent="0.2">
      <c r="A180" t="s">
        <v>236</v>
      </c>
      <c r="B180" s="1">
        <v>45434</v>
      </c>
      <c r="C180" s="2" t="s">
        <v>18</v>
      </c>
      <c r="D180" s="2" t="s">
        <v>40</v>
      </c>
      <c r="E180" s="7" t="s">
        <v>462</v>
      </c>
      <c r="F180" s="2" t="s">
        <v>16</v>
      </c>
      <c r="G180" s="2" t="s">
        <v>36</v>
      </c>
      <c r="H180" s="2">
        <v>27</v>
      </c>
      <c r="I180" s="3">
        <v>280000</v>
      </c>
      <c r="J180" s="3">
        <v>130000</v>
      </c>
      <c r="K180" s="3" t="str">
        <f t="shared" si="12"/>
        <v>Fitri Handayani</v>
      </c>
      <c r="L180" s="2" t="str">
        <f>VLOOKUP(MID(A180,5,1),Referensi!$A$1:$C$6,2,FALSE)</f>
        <v>QRIS</v>
      </c>
      <c r="M180" s="2" t="str">
        <f t="shared" si="13"/>
        <v>Lama</v>
      </c>
      <c r="N180" s="8">
        <f t="shared" si="14"/>
        <v>7560000</v>
      </c>
      <c r="O180" s="5">
        <f t="shared" si="15"/>
        <v>0</v>
      </c>
      <c r="P180" s="8">
        <f t="shared" si="16"/>
        <v>7560000</v>
      </c>
      <c r="Q180" s="8">
        <f>P180-VLOOKUP(MID(A180,5,1),Referensi!$A$1:$C$6,3,FALSE)</f>
        <v>7559000</v>
      </c>
      <c r="R180" s="8">
        <f t="shared" si="17"/>
        <v>4049000</v>
      </c>
    </row>
    <row r="181" spans="1:18" x14ac:dyDescent="0.2">
      <c r="A181" t="s">
        <v>237</v>
      </c>
      <c r="B181" s="1">
        <v>45434</v>
      </c>
      <c r="C181" s="2" t="s">
        <v>12</v>
      </c>
      <c r="D181" s="2" t="s">
        <v>13</v>
      </c>
      <c r="E181" s="7" t="s">
        <v>463</v>
      </c>
      <c r="F181" s="2" t="s">
        <v>27</v>
      </c>
      <c r="G181" s="2" t="s">
        <v>43</v>
      </c>
      <c r="H181" s="2">
        <v>26</v>
      </c>
      <c r="I181" s="3">
        <v>87000</v>
      </c>
      <c r="J181" s="3">
        <v>37000</v>
      </c>
      <c r="K181" s="3" t="str">
        <f t="shared" si="12"/>
        <v>Dewi Lestari</v>
      </c>
      <c r="L181" s="2" t="str">
        <f>VLOOKUP(MID(A181,5,1),Referensi!$A$1:$C$6,2,FALSE)</f>
        <v>Transfer Bank</v>
      </c>
      <c r="M181" s="2" t="str">
        <f t="shared" si="13"/>
        <v>Baru</v>
      </c>
      <c r="N181" s="8">
        <f t="shared" si="14"/>
        <v>2262000</v>
      </c>
      <c r="O181" s="5">
        <f t="shared" si="15"/>
        <v>0</v>
      </c>
      <c r="P181" s="8">
        <f t="shared" si="16"/>
        <v>2262000</v>
      </c>
      <c r="Q181" s="8">
        <f>P181-VLOOKUP(MID(A181,5,1),Referensi!$A$1:$C$6,3,FALSE)</f>
        <v>2259500</v>
      </c>
      <c r="R181" s="8">
        <f t="shared" si="17"/>
        <v>1297500</v>
      </c>
    </row>
    <row r="182" spans="1:18" x14ac:dyDescent="0.2">
      <c r="A182" t="s">
        <v>238</v>
      </c>
      <c r="B182" s="1">
        <v>45435</v>
      </c>
      <c r="C182" s="2" t="s">
        <v>22</v>
      </c>
      <c r="D182" s="2" t="s">
        <v>29</v>
      </c>
      <c r="E182" s="7" t="s">
        <v>464</v>
      </c>
      <c r="F182" s="2" t="s">
        <v>27</v>
      </c>
      <c r="G182" s="2" t="s">
        <v>30</v>
      </c>
      <c r="H182" s="2">
        <v>38</v>
      </c>
      <c r="I182" s="3">
        <v>110000</v>
      </c>
      <c r="J182" s="3">
        <v>46000</v>
      </c>
      <c r="K182" s="3" t="str">
        <f t="shared" si="12"/>
        <v>Dewi Lestari</v>
      </c>
      <c r="L182" s="2" t="str">
        <f>VLOOKUP(MID(A182,5,1),Referensi!$A$1:$C$6,2,FALSE)</f>
        <v>Transfer Bank</v>
      </c>
      <c r="M182" s="2" t="str">
        <f t="shared" si="13"/>
        <v>Lama</v>
      </c>
      <c r="N182" s="8">
        <f t="shared" si="14"/>
        <v>4180000</v>
      </c>
      <c r="O182" s="5">
        <f t="shared" si="15"/>
        <v>0</v>
      </c>
      <c r="P182" s="8">
        <f t="shared" si="16"/>
        <v>4180000</v>
      </c>
      <c r="Q182" s="8">
        <f>P182-VLOOKUP(MID(A182,5,1),Referensi!$A$1:$C$6,3,FALSE)</f>
        <v>4177500</v>
      </c>
      <c r="R182" s="8">
        <f t="shared" si="17"/>
        <v>2429500</v>
      </c>
    </row>
    <row r="183" spans="1:18" x14ac:dyDescent="0.2">
      <c r="A183" t="s">
        <v>239</v>
      </c>
      <c r="B183" s="1">
        <v>45435</v>
      </c>
      <c r="C183" s="2" t="s">
        <v>18</v>
      </c>
      <c r="D183" s="2" t="s">
        <v>40</v>
      </c>
      <c r="E183" s="7" t="s">
        <v>465</v>
      </c>
      <c r="F183" s="2" t="s">
        <v>16</v>
      </c>
      <c r="G183" s="2" t="s">
        <v>17</v>
      </c>
      <c r="H183" s="2">
        <v>12</v>
      </c>
      <c r="I183" s="3">
        <v>150000</v>
      </c>
      <c r="J183" s="3">
        <v>75000</v>
      </c>
      <c r="K183" s="3" t="str">
        <f t="shared" si="12"/>
        <v>Eko Prasetyo</v>
      </c>
      <c r="L183" s="2" t="str">
        <f>VLOOKUP(MID(A183,5,1),Referensi!$A$1:$C$6,2,FALSE)</f>
        <v>Kartu Kredit</v>
      </c>
      <c r="M183" s="2" t="str">
        <f t="shared" si="13"/>
        <v>Lama</v>
      </c>
      <c r="N183" s="8">
        <f t="shared" si="14"/>
        <v>1800000</v>
      </c>
      <c r="O183" s="5">
        <f t="shared" si="15"/>
        <v>0</v>
      </c>
      <c r="P183" s="8">
        <f t="shared" si="16"/>
        <v>1800000</v>
      </c>
      <c r="Q183" s="8">
        <f>P183-VLOOKUP(MID(A183,5,1),Referensi!$A$1:$C$6,3,FALSE)</f>
        <v>1790000</v>
      </c>
      <c r="R183" s="8">
        <f t="shared" si="17"/>
        <v>890000</v>
      </c>
    </row>
    <row r="184" spans="1:18" x14ac:dyDescent="0.2">
      <c r="A184" t="s">
        <v>240</v>
      </c>
      <c r="B184" s="1">
        <v>45436</v>
      </c>
      <c r="C184" s="2" t="s">
        <v>22</v>
      </c>
      <c r="D184" s="2" t="s">
        <v>29</v>
      </c>
      <c r="E184" s="7" t="s">
        <v>466</v>
      </c>
      <c r="F184" s="2" t="s">
        <v>14</v>
      </c>
      <c r="G184" s="2" t="s">
        <v>15</v>
      </c>
      <c r="H184" s="2">
        <v>11</v>
      </c>
      <c r="I184" s="3">
        <v>2290000</v>
      </c>
      <c r="J184" s="3">
        <v>1290000</v>
      </c>
      <c r="K184" s="3" t="str">
        <f t="shared" si="12"/>
        <v>Eko Prasetyo</v>
      </c>
      <c r="L184" s="2" t="str">
        <f>VLOOKUP(MID(A184,5,1),Referensi!$A$1:$C$6,2,FALSE)</f>
        <v>Transfer Bank</v>
      </c>
      <c r="M184" s="2" t="str">
        <f t="shared" si="13"/>
        <v>Lama</v>
      </c>
      <c r="N184" s="8">
        <f t="shared" si="14"/>
        <v>25190000</v>
      </c>
      <c r="O184" s="5">
        <f t="shared" si="15"/>
        <v>0</v>
      </c>
      <c r="P184" s="8">
        <f t="shared" si="16"/>
        <v>25190000</v>
      </c>
      <c r="Q184" s="8">
        <f>P184-VLOOKUP(MID(A184,5,1),Referensi!$A$1:$C$6,3,FALSE)</f>
        <v>25187500</v>
      </c>
      <c r="R184" s="8">
        <f t="shared" si="17"/>
        <v>10997500</v>
      </c>
    </row>
    <row r="185" spans="1:18" x14ac:dyDescent="0.2">
      <c r="A185" t="s">
        <v>241</v>
      </c>
      <c r="B185" s="1">
        <v>45436</v>
      </c>
      <c r="C185" s="2" t="s">
        <v>18</v>
      </c>
      <c r="D185" s="2" t="s">
        <v>31</v>
      </c>
      <c r="E185" s="7" t="s">
        <v>467</v>
      </c>
      <c r="F185" s="2" t="s">
        <v>14</v>
      </c>
      <c r="G185" s="2" t="s">
        <v>15</v>
      </c>
      <c r="H185" s="2">
        <v>5</v>
      </c>
      <c r="I185" s="3">
        <v>2290000</v>
      </c>
      <c r="J185" s="3">
        <v>1290000</v>
      </c>
      <c r="K185" s="3" t="str">
        <f t="shared" si="12"/>
        <v>Gilang Ramadhan</v>
      </c>
      <c r="L185" s="2" t="str">
        <f>VLOOKUP(MID(A185,5,1),Referensi!$A$1:$C$6,2,FALSE)</f>
        <v>Transfer Bank</v>
      </c>
      <c r="M185" s="2" t="str">
        <f t="shared" si="13"/>
        <v>Lama</v>
      </c>
      <c r="N185" s="8">
        <f t="shared" si="14"/>
        <v>11450000</v>
      </c>
      <c r="O185" s="5">
        <f t="shared" si="15"/>
        <v>0</v>
      </c>
      <c r="P185" s="8">
        <f t="shared" si="16"/>
        <v>11450000</v>
      </c>
      <c r="Q185" s="8">
        <f>P185-VLOOKUP(MID(A185,5,1),Referensi!$A$1:$C$6,3,FALSE)</f>
        <v>11447500</v>
      </c>
      <c r="R185" s="8">
        <f t="shared" si="17"/>
        <v>4997500</v>
      </c>
    </row>
    <row r="186" spans="1:18" x14ac:dyDescent="0.2">
      <c r="A186" t="s">
        <v>242</v>
      </c>
      <c r="B186" s="1">
        <v>45438</v>
      </c>
      <c r="C186" s="2" t="s">
        <v>22</v>
      </c>
      <c r="D186" s="2" t="s">
        <v>29</v>
      </c>
      <c r="E186" s="7" t="s">
        <v>468</v>
      </c>
      <c r="F186" s="2" t="s">
        <v>14</v>
      </c>
      <c r="G186" s="2" t="s">
        <v>39</v>
      </c>
      <c r="H186" s="2">
        <v>18</v>
      </c>
      <c r="I186" s="3">
        <v>1190000</v>
      </c>
      <c r="J186" s="3">
        <v>630000</v>
      </c>
      <c r="K186" s="3" t="str">
        <f t="shared" si="12"/>
        <v>Gilang Ramadhan</v>
      </c>
      <c r="L186" s="2" t="str">
        <f>VLOOKUP(MID(A186,5,1),Referensi!$A$1:$C$6,2,FALSE)</f>
        <v>Transfer Bank</v>
      </c>
      <c r="M186" s="2" t="str">
        <f t="shared" si="13"/>
        <v>Lama</v>
      </c>
      <c r="N186" s="8">
        <f t="shared" si="14"/>
        <v>21420000</v>
      </c>
      <c r="O186" s="5">
        <f t="shared" si="15"/>
        <v>0</v>
      </c>
      <c r="P186" s="8">
        <f t="shared" si="16"/>
        <v>21420000</v>
      </c>
      <c r="Q186" s="8">
        <f>P186-VLOOKUP(MID(A186,5,1),Referensi!$A$1:$C$6,3,FALSE)</f>
        <v>21417500</v>
      </c>
      <c r="R186" s="8">
        <f t="shared" si="17"/>
        <v>10077500</v>
      </c>
    </row>
    <row r="187" spans="1:18" x14ac:dyDescent="0.2">
      <c r="A187" t="s">
        <v>243</v>
      </c>
      <c r="B187" s="1">
        <v>45439</v>
      </c>
      <c r="C187" s="2" t="s">
        <v>22</v>
      </c>
      <c r="D187" s="2" t="s">
        <v>23</v>
      </c>
      <c r="E187" s="7" t="s">
        <v>469</v>
      </c>
      <c r="F187" s="2" t="s">
        <v>14</v>
      </c>
      <c r="G187" s="2" t="s">
        <v>35</v>
      </c>
      <c r="H187" s="2">
        <v>1</v>
      </c>
      <c r="I187" s="3">
        <v>1010000</v>
      </c>
      <c r="J187" s="3">
        <v>535000</v>
      </c>
      <c r="K187" s="3" t="str">
        <f t="shared" si="12"/>
        <v>Eko Prasetyo</v>
      </c>
      <c r="L187" s="2" t="str">
        <f>VLOOKUP(MID(A187,5,1),Referensi!$A$1:$C$6,2,FALSE)</f>
        <v>Tunai</v>
      </c>
      <c r="M187" s="2" t="str">
        <f t="shared" si="13"/>
        <v>Baru</v>
      </c>
      <c r="N187" s="8">
        <f t="shared" si="14"/>
        <v>1010000</v>
      </c>
      <c r="O187" s="5">
        <f t="shared" si="15"/>
        <v>0</v>
      </c>
      <c r="P187" s="8">
        <f t="shared" si="16"/>
        <v>1010000</v>
      </c>
      <c r="Q187" s="8">
        <f>P187-VLOOKUP(MID(A187,5,1),Referensi!$A$1:$C$6,3,FALSE)</f>
        <v>1010000</v>
      </c>
      <c r="R187" s="8">
        <f t="shared" si="17"/>
        <v>475000</v>
      </c>
    </row>
    <row r="188" spans="1:18" x14ac:dyDescent="0.2">
      <c r="A188" t="s">
        <v>244</v>
      </c>
      <c r="B188" s="1">
        <v>45443</v>
      </c>
      <c r="C188" s="2" t="s">
        <v>18</v>
      </c>
      <c r="D188" s="2" t="s">
        <v>19</v>
      </c>
      <c r="E188" s="7" t="s">
        <v>470</v>
      </c>
      <c r="F188" s="2" t="s">
        <v>16</v>
      </c>
      <c r="G188" s="2" t="s">
        <v>24</v>
      </c>
      <c r="H188" s="2">
        <v>30</v>
      </c>
      <c r="I188" s="3">
        <v>370000</v>
      </c>
      <c r="J188" s="3">
        <v>195000</v>
      </c>
      <c r="K188" s="3" t="str">
        <f t="shared" si="12"/>
        <v>Gilang Ramadhan</v>
      </c>
      <c r="L188" s="2" t="str">
        <f>VLOOKUP(MID(A188,5,1),Referensi!$A$1:$C$6,2,FALSE)</f>
        <v>QRIS</v>
      </c>
      <c r="M188" s="2" t="str">
        <f t="shared" si="13"/>
        <v>Baru</v>
      </c>
      <c r="N188" s="8">
        <f t="shared" si="14"/>
        <v>11100000</v>
      </c>
      <c r="O188" s="5">
        <f t="shared" si="15"/>
        <v>0</v>
      </c>
      <c r="P188" s="8">
        <f t="shared" si="16"/>
        <v>11100000</v>
      </c>
      <c r="Q188" s="8">
        <f>P188-VLOOKUP(MID(A188,5,1),Referensi!$A$1:$C$6,3,FALSE)</f>
        <v>11099000</v>
      </c>
      <c r="R188" s="8">
        <f t="shared" si="17"/>
        <v>5249000</v>
      </c>
    </row>
    <row r="189" spans="1:18" x14ac:dyDescent="0.2">
      <c r="A189" t="s">
        <v>245</v>
      </c>
      <c r="B189" s="1">
        <v>45444</v>
      </c>
      <c r="C189" s="2" t="s">
        <v>12</v>
      </c>
      <c r="D189" s="2" t="s">
        <v>13</v>
      </c>
      <c r="E189" s="7" t="s">
        <v>471</v>
      </c>
      <c r="F189" s="2" t="s">
        <v>20</v>
      </c>
      <c r="G189" s="2" t="s">
        <v>41</v>
      </c>
      <c r="H189" s="2">
        <v>15</v>
      </c>
      <c r="I189" s="3">
        <v>75000</v>
      </c>
      <c r="J189" s="3">
        <v>28000</v>
      </c>
      <c r="K189" s="3" t="str">
        <f t="shared" si="12"/>
        <v>Dewi Lestari</v>
      </c>
      <c r="L189" s="2" t="str">
        <f>VLOOKUP(MID(A189,5,1),Referensi!$A$1:$C$6,2,FALSE)</f>
        <v>Transfer Bank</v>
      </c>
      <c r="M189" s="2" t="str">
        <f t="shared" si="13"/>
        <v>Baru</v>
      </c>
      <c r="N189" s="8">
        <f t="shared" si="14"/>
        <v>1125000</v>
      </c>
      <c r="O189" s="5">
        <f t="shared" si="15"/>
        <v>0</v>
      </c>
      <c r="P189" s="8">
        <f t="shared" si="16"/>
        <v>1125000</v>
      </c>
      <c r="Q189" s="8">
        <f>P189-VLOOKUP(MID(A189,5,1),Referensi!$A$1:$C$6,3,FALSE)</f>
        <v>1122500</v>
      </c>
      <c r="R189" s="8">
        <f t="shared" si="17"/>
        <v>702500</v>
      </c>
    </row>
    <row r="190" spans="1:18" x14ac:dyDescent="0.2">
      <c r="A190" t="s">
        <v>246</v>
      </c>
      <c r="B190" s="1">
        <v>45444</v>
      </c>
      <c r="C190" s="2" t="s">
        <v>22</v>
      </c>
      <c r="D190" s="2" t="s">
        <v>29</v>
      </c>
      <c r="E190" s="7" t="s">
        <v>472</v>
      </c>
      <c r="F190" s="2" t="s">
        <v>27</v>
      </c>
      <c r="G190" s="2" t="s">
        <v>30</v>
      </c>
      <c r="H190" s="2">
        <v>20</v>
      </c>
      <c r="I190" s="3">
        <v>110000</v>
      </c>
      <c r="J190" s="3">
        <v>46000</v>
      </c>
      <c r="K190" s="3" t="str">
        <f t="shared" si="12"/>
        <v>Hesti Wulandari</v>
      </c>
      <c r="L190" s="2" t="str">
        <f>VLOOKUP(MID(A190,5,1),Referensi!$A$1:$C$6,2,FALSE)</f>
        <v>QRIS</v>
      </c>
      <c r="M190" s="2" t="str">
        <f t="shared" si="13"/>
        <v>Lama</v>
      </c>
      <c r="N190" s="8">
        <f t="shared" si="14"/>
        <v>2200000</v>
      </c>
      <c r="O190" s="5">
        <f t="shared" si="15"/>
        <v>0</v>
      </c>
      <c r="P190" s="8">
        <f t="shared" si="16"/>
        <v>2200000</v>
      </c>
      <c r="Q190" s="8">
        <f>P190-VLOOKUP(MID(A190,5,1),Referensi!$A$1:$C$6,3,FALSE)</f>
        <v>2199000</v>
      </c>
      <c r="R190" s="8">
        <f t="shared" si="17"/>
        <v>1279000</v>
      </c>
    </row>
    <row r="191" spans="1:18" x14ac:dyDescent="0.2">
      <c r="A191" t="s">
        <v>247</v>
      </c>
      <c r="B191" s="1">
        <v>45445</v>
      </c>
      <c r="C191" s="2" t="s">
        <v>12</v>
      </c>
      <c r="D191" s="2" t="s">
        <v>33</v>
      </c>
      <c r="E191" s="7" t="s">
        <v>473</v>
      </c>
      <c r="F191" s="2" t="s">
        <v>16</v>
      </c>
      <c r="G191" s="2" t="s">
        <v>36</v>
      </c>
      <c r="H191" s="2">
        <v>24</v>
      </c>
      <c r="I191" s="3">
        <v>280000</v>
      </c>
      <c r="J191" s="3">
        <v>130000</v>
      </c>
      <c r="K191" s="3" t="str">
        <f t="shared" si="12"/>
        <v>Andi Saputra</v>
      </c>
      <c r="L191" s="2" t="str">
        <f>VLOOKUP(MID(A191,5,1),Referensi!$A$1:$C$6,2,FALSE)</f>
        <v>Kartu Debit</v>
      </c>
      <c r="M191" s="2" t="str">
        <f t="shared" si="13"/>
        <v>Lama</v>
      </c>
      <c r="N191" s="8">
        <f t="shared" si="14"/>
        <v>6720000</v>
      </c>
      <c r="O191" s="5">
        <f t="shared" si="15"/>
        <v>0</v>
      </c>
      <c r="P191" s="8">
        <f t="shared" si="16"/>
        <v>6720000</v>
      </c>
      <c r="Q191" s="8">
        <f>P191-VLOOKUP(MID(A191,5,1),Referensi!$A$1:$C$6,3,FALSE)</f>
        <v>6713500</v>
      </c>
      <c r="R191" s="8">
        <f t="shared" si="17"/>
        <v>3593500</v>
      </c>
    </row>
    <row r="192" spans="1:18" x14ac:dyDescent="0.2">
      <c r="A192" t="s">
        <v>248</v>
      </c>
      <c r="B192" s="1">
        <v>45446</v>
      </c>
      <c r="C192" s="2" t="s">
        <v>25</v>
      </c>
      <c r="D192" s="2" t="s">
        <v>37</v>
      </c>
      <c r="E192" s="7" t="s">
        <v>474</v>
      </c>
      <c r="F192" s="2" t="s">
        <v>14</v>
      </c>
      <c r="G192" s="2" t="s">
        <v>15</v>
      </c>
      <c r="H192" s="2">
        <v>29</v>
      </c>
      <c r="I192" s="3">
        <v>2290000</v>
      </c>
      <c r="J192" s="3">
        <v>1290000</v>
      </c>
      <c r="K192" s="3" t="str">
        <f t="shared" si="12"/>
        <v>Hesti Wulandari</v>
      </c>
      <c r="L192" s="2" t="str">
        <f>VLOOKUP(MID(A192,5,1),Referensi!$A$1:$C$6,2,FALSE)</f>
        <v>Kartu Kredit</v>
      </c>
      <c r="M192" s="2" t="str">
        <f t="shared" si="13"/>
        <v>Lama</v>
      </c>
      <c r="N192" s="8">
        <f t="shared" si="14"/>
        <v>66410000</v>
      </c>
      <c r="O192" s="5">
        <f t="shared" si="15"/>
        <v>0.15</v>
      </c>
      <c r="P192" s="8">
        <f t="shared" si="16"/>
        <v>56448500</v>
      </c>
      <c r="Q192" s="8">
        <f>P192-VLOOKUP(MID(A192,5,1),Referensi!$A$1:$C$6,3,FALSE)</f>
        <v>56438500</v>
      </c>
      <c r="R192" s="8">
        <f t="shared" si="17"/>
        <v>19028500</v>
      </c>
    </row>
    <row r="193" spans="1:18" x14ac:dyDescent="0.2">
      <c r="A193" t="s">
        <v>249</v>
      </c>
      <c r="B193" s="1">
        <v>45447</v>
      </c>
      <c r="C193" s="2" t="s">
        <v>12</v>
      </c>
      <c r="D193" s="2" t="s">
        <v>33</v>
      </c>
      <c r="E193" s="7" t="s">
        <v>475</v>
      </c>
      <c r="F193" s="2" t="s">
        <v>27</v>
      </c>
      <c r="G193" s="2" t="s">
        <v>30</v>
      </c>
      <c r="H193" s="2">
        <v>14</v>
      </c>
      <c r="I193" s="3">
        <v>110000</v>
      </c>
      <c r="J193" s="3">
        <v>46000</v>
      </c>
      <c r="K193" s="3" t="str">
        <f t="shared" si="12"/>
        <v>Hesti Wulandari</v>
      </c>
      <c r="L193" s="2" t="str">
        <f>VLOOKUP(MID(A193,5,1),Referensi!$A$1:$C$6,2,FALSE)</f>
        <v>Kartu Debit</v>
      </c>
      <c r="M193" s="2" t="str">
        <f t="shared" si="13"/>
        <v>Lama</v>
      </c>
      <c r="N193" s="8">
        <f t="shared" si="14"/>
        <v>1540000</v>
      </c>
      <c r="O193" s="5">
        <f t="shared" si="15"/>
        <v>0</v>
      </c>
      <c r="P193" s="8">
        <f t="shared" si="16"/>
        <v>1540000</v>
      </c>
      <c r="Q193" s="8">
        <f>P193-VLOOKUP(MID(A193,5,1),Referensi!$A$1:$C$6,3,FALSE)</f>
        <v>1533500</v>
      </c>
      <c r="R193" s="8">
        <f t="shared" si="17"/>
        <v>889500</v>
      </c>
    </row>
    <row r="194" spans="1:18" x14ac:dyDescent="0.2">
      <c r="A194" t="s">
        <v>250</v>
      </c>
      <c r="B194" s="1">
        <v>45447</v>
      </c>
      <c r="C194" s="2" t="s">
        <v>25</v>
      </c>
      <c r="D194" s="2" t="s">
        <v>26</v>
      </c>
      <c r="E194" s="7" t="s">
        <v>476</v>
      </c>
      <c r="F194" s="2" t="s">
        <v>14</v>
      </c>
      <c r="G194" s="2" t="s">
        <v>15</v>
      </c>
      <c r="H194" s="2">
        <v>15</v>
      </c>
      <c r="I194" s="3">
        <v>2290000</v>
      </c>
      <c r="J194" s="3">
        <v>1290000</v>
      </c>
      <c r="K194" s="3" t="str">
        <f t="shared" si="12"/>
        <v>Dewi Lestari</v>
      </c>
      <c r="L194" s="2" t="str">
        <f>VLOOKUP(MID(A194,5,1),Referensi!$A$1:$C$6,2,FALSE)</f>
        <v>Kartu Kredit</v>
      </c>
      <c r="M194" s="2" t="str">
        <f t="shared" si="13"/>
        <v>Baru</v>
      </c>
      <c r="N194" s="8">
        <f t="shared" si="14"/>
        <v>34350000</v>
      </c>
      <c r="O194" s="5">
        <f t="shared" si="15"/>
        <v>0.1</v>
      </c>
      <c r="P194" s="8">
        <f t="shared" si="16"/>
        <v>30915000</v>
      </c>
      <c r="Q194" s="8">
        <f>P194-VLOOKUP(MID(A194,5,1),Referensi!$A$1:$C$6,3,FALSE)</f>
        <v>30905000</v>
      </c>
      <c r="R194" s="8">
        <f t="shared" si="17"/>
        <v>11555000</v>
      </c>
    </row>
    <row r="195" spans="1:18" x14ac:dyDescent="0.2">
      <c r="A195" t="s">
        <v>251</v>
      </c>
      <c r="B195" s="1">
        <v>45448</v>
      </c>
      <c r="C195" s="2" t="s">
        <v>12</v>
      </c>
      <c r="D195" s="2" t="s">
        <v>33</v>
      </c>
      <c r="E195" s="7" t="s">
        <v>477</v>
      </c>
      <c r="F195" s="2" t="s">
        <v>20</v>
      </c>
      <c r="G195" s="2" t="s">
        <v>45</v>
      </c>
      <c r="H195" s="2">
        <v>20</v>
      </c>
      <c r="I195" s="3">
        <v>36000</v>
      </c>
      <c r="J195" s="3">
        <v>13000</v>
      </c>
      <c r="K195" s="3" t="str">
        <f t="shared" ref="K195:K221" si="18">PROPER(E195)</f>
        <v>Dewi Lestari</v>
      </c>
      <c r="L195" s="2" t="str">
        <f>VLOOKUP(MID(A195,5,1),Referensi!$A$1:$C$6,2,FALSE)</f>
        <v>Kartu Debit</v>
      </c>
      <c r="M195" s="2" t="str">
        <f t="shared" ref="M195:M221" si="19">IF(MID(A195,7,2)="BR","Baru","Lama")</f>
        <v>Lama</v>
      </c>
      <c r="N195" s="8">
        <f t="shared" ref="N195:N221" si="20">I195*H195</f>
        <v>720000</v>
      </c>
      <c r="O195" s="5">
        <f t="shared" ref="O195:O221" si="21">IF(AND(M195="BARU",N195&gt;50000000),20%,IF(AND(M195="LAMA",N195&gt;50000000),15%,IF(AND(M195="BARU",N195&gt;20000000),10%,0%)))</f>
        <v>0</v>
      </c>
      <c r="P195" s="8">
        <f t="shared" ref="P195:P221" si="22">N195-O195*N195</f>
        <v>720000</v>
      </c>
      <c r="Q195" s="8">
        <f>P195-VLOOKUP(MID(A195,5,1),Referensi!$A$1:$C$6,3,FALSE)</f>
        <v>713500</v>
      </c>
      <c r="R195" s="8">
        <f t="shared" ref="R195:R221" si="23">Q195-(H195*J195)</f>
        <v>453500</v>
      </c>
    </row>
    <row r="196" spans="1:18" x14ac:dyDescent="0.2">
      <c r="A196" t="s">
        <v>252</v>
      </c>
      <c r="B196" s="1">
        <v>45449</v>
      </c>
      <c r="C196" s="2" t="s">
        <v>18</v>
      </c>
      <c r="D196" s="2" t="s">
        <v>19</v>
      </c>
      <c r="E196" s="7" t="s">
        <v>478</v>
      </c>
      <c r="F196" s="2" t="s">
        <v>20</v>
      </c>
      <c r="G196" s="2" t="s">
        <v>21</v>
      </c>
      <c r="H196" s="2">
        <v>14</v>
      </c>
      <c r="I196" s="3">
        <v>145000</v>
      </c>
      <c r="J196" s="3">
        <v>62000</v>
      </c>
      <c r="K196" s="3" t="str">
        <f t="shared" si="18"/>
        <v>Andi Saputra</v>
      </c>
      <c r="L196" s="2" t="str">
        <f>VLOOKUP(MID(A196,5,1),Referensi!$A$1:$C$6,2,FALSE)</f>
        <v>Tunai</v>
      </c>
      <c r="M196" s="2" t="str">
        <f t="shared" si="19"/>
        <v>Baru</v>
      </c>
      <c r="N196" s="8">
        <f t="shared" si="20"/>
        <v>2030000</v>
      </c>
      <c r="O196" s="5">
        <f t="shared" si="21"/>
        <v>0</v>
      </c>
      <c r="P196" s="8">
        <f t="shared" si="22"/>
        <v>2030000</v>
      </c>
      <c r="Q196" s="8">
        <f>P196-VLOOKUP(MID(A196,5,1),Referensi!$A$1:$C$6,3,FALSE)</f>
        <v>2030000</v>
      </c>
      <c r="R196" s="8">
        <f t="shared" si="23"/>
        <v>1162000</v>
      </c>
    </row>
    <row r="197" spans="1:18" x14ac:dyDescent="0.2">
      <c r="A197" t="s">
        <v>253</v>
      </c>
      <c r="B197" s="1">
        <v>45449</v>
      </c>
      <c r="C197" s="2" t="s">
        <v>25</v>
      </c>
      <c r="D197" s="2" t="s">
        <v>26</v>
      </c>
      <c r="E197" s="7" t="s">
        <v>479</v>
      </c>
      <c r="F197" s="2" t="s">
        <v>16</v>
      </c>
      <c r="G197" s="2" t="s">
        <v>32</v>
      </c>
      <c r="H197" s="2">
        <v>26</v>
      </c>
      <c r="I197" s="3">
        <v>420000</v>
      </c>
      <c r="J197" s="3">
        <v>225000</v>
      </c>
      <c r="K197" s="3" t="str">
        <f t="shared" si="18"/>
        <v>Andi Saputra</v>
      </c>
      <c r="L197" s="2" t="str">
        <f>VLOOKUP(MID(A197,5,1),Referensi!$A$1:$C$6,2,FALSE)</f>
        <v>Kartu Debit</v>
      </c>
      <c r="M197" s="2" t="str">
        <f t="shared" si="19"/>
        <v>Lama</v>
      </c>
      <c r="N197" s="8">
        <f t="shared" si="20"/>
        <v>10920000</v>
      </c>
      <c r="O197" s="5">
        <f t="shared" si="21"/>
        <v>0</v>
      </c>
      <c r="P197" s="8">
        <f t="shared" si="22"/>
        <v>10920000</v>
      </c>
      <c r="Q197" s="8">
        <f>P197-VLOOKUP(MID(A197,5,1),Referensi!$A$1:$C$6,3,FALSE)</f>
        <v>10913500</v>
      </c>
      <c r="R197" s="8">
        <f t="shared" si="23"/>
        <v>5063500</v>
      </c>
    </row>
    <row r="198" spans="1:18" x14ac:dyDescent="0.2">
      <c r="A198" t="s">
        <v>254</v>
      </c>
      <c r="B198" s="1">
        <v>45449</v>
      </c>
      <c r="C198" s="2" t="s">
        <v>25</v>
      </c>
      <c r="D198" s="2" t="s">
        <v>37</v>
      </c>
      <c r="E198" s="7" t="s">
        <v>480</v>
      </c>
      <c r="F198" s="2" t="s">
        <v>14</v>
      </c>
      <c r="G198" s="2" t="s">
        <v>39</v>
      </c>
      <c r="H198" s="2">
        <v>37</v>
      </c>
      <c r="I198" s="3">
        <v>1190000</v>
      </c>
      <c r="J198" s="3">
        <v>630000</v>
      </c>
      <c r="K198" s="3" t="str">
        <f t="shared" si="18"/>
        <v>Citra Dewi</v>
      </c>
      <c r="L198" s="2" t="str">
        <f>VLOOKUP(MID(A198,5,1),Referensi!$A$1:$C$6,2,FALSE)</f>
        <v>Kartu Debit</v>
      </c>
      <c r="M198" s="2" t="str">
        <f t="shared" si="19"/>
        <v>Baru</v>
      </c>
      <c r="N198" s="8">
        <f t="shared" si="20"/>
        <v>44030000</v>
      </c>
      <c r="O198" s="5">
        <f t="shared" si="21"/>
        <v>0.1</v>
      </c>
      <c r="P198" s="8">
        <f t="shared" si="22"/>
        <v>39627000</v>
      </c>
      <c r="Q198" s="8">
        <f>P198-VLOOKUP(MID(A198,5,1),Referensi!$A$1:$C$6,3,FALSE)</f>
        <v>39620500</v>
      </c>
      <c r="R198" s="8">
        <f t="shared" si="23"/>
        <v>16310500</v>
      </c>
    </row>
    <row r="199" spans="1:18" x14ac:dyDescent="0.2">
      <c r="A199" t="s">
        <v>255</v>
      </c>
      <c r="B199" s="1">
        <v>45452</v>
      </c>
      <c r="C199" s="2" t="s">
        <v>22</v>
      </c>
      <c r="D199" s="2" t="s">
        <v>29</v>
      </c>
      <c r="E199" s="7" t="s">
        <v>481</v>
      </c>
      <c r="F199" s="2" t="s">
        <v>20</v>
      </c>
      <c r="G199" s="2" t="s">
        <v>45</v>
      </c>
      <c r="H199" s="2">
        <v>10</v>
      </c>
      <c r="I199" s="3">
        <v>36000</v>
      </c>
      <c r="J199" s="3">
        <v>13000</v>
      </c>
      <c r="K199" s="3" t="str">
        <f t="shared" si="18"/>
        <v>Budi Santoso</v>
      </c>
      <c r="L199" s="2" t="str">
        <f>VLOOKUP(MID(A199,5,1),Referensi!$A$1:$C$6,2,FALSE)</f>
        <v>Transfer Bank</v>
      </c>
      <c r="M199" s="2" t="str">
        <f t="shared" si="19"/>
        <v>Lama</v>
      </c>
      <c r="N199" s="8">
        <f t="shared" si="20"/>
        <v>360000</v>
      </c>
      <c r="O199" s="5">
        <f t="shared" si="21"/>
        <v>0</v>
      </c>
      <c r="P199" s="8">
        <f t="shared" si="22"/>
        <v>360000</v>
      </c>
      <c r="Q199" s="8">
        <f>P199-VLOOKUP(MID(A199,5,1),Referensi!$A$1:$C$6,3,FALSE)</f>
        <v>357500</v>
      </c>
      <c r="R199" s="8">
        <f t="shared" si="23"/>
        <v>227500</v>
      </c>
    </row>
    <row r="200" spans="1:18" x14ac:dyDescent="0.2">
      <c r="A200" t="s">
        <v>256</v>
      </c>
      <c r="B200" s="1">
        <v>45454</v>
      </c>
      <c r="C200" s="2" t="s">
        <v>18</v>
      </c>
      <c r="D200" s="2" t="s">
        <v>19</v>
      </c>
      <c r="E200" s="7" t="s">
        <v>482</v>
      </c>
      <c r="F200" s="2" t="s">
        <v>14</v>
      </c>
      <c r="G200" s="2" t="s">
        <v>34</v>
      </c>
      <c r="H200" s="2">
        <v>27</v>
      </c>
      <c r="I200" s="3">
        <v>820000</v>
      </c>
      <c r="J200" s="3">
        <v>415000</v>
      </c>
      <c r="K200" s="3" t="str">
        <f t="shared" si="18"/>
        <v>Dewi Lestari</v>
      </c>
      <c r="L200" s="2" t="str">
        <f>VLOOKUP(MID(A200,5,1),Referensi!$A$1:$C$6,2,FALSE)</f>
        <v>Kartu Kredit</v>
      </c>
      <c r="M200" s="2" t="str">
        <f t="shared" si="19"/>
        <v>Baru</v>
      </c>
      <c r="N200" s="8">
        <f t="shared" si="20"/>
        <v>22140000</v>
      </c>
      <c r="O200" s="5">
        <f t="shared" si="21"/>
        <v>0.1</v>
      </c>
      <c r="P200" s="8">
        <f t="shared" si="22"/>
        <v>19926000</v>
      </c>
      <c r="Q200" s="8">
        <f>P200-VLOOKUP(MID(A200,5,1),Referensi!$A$1:$C$6,3,FALSE)</f>
        <v>19916000</v>
      </c>
      <c r="R200" s="8">
        <f t="shared" si="23"/>
        <v>8711000</v>
      </c>
    </row>
    <row r="201" spans="1:18" x14ac:dyDescent="0.2">
      <c r="A201" t="s">
        <v>257</v>
      </c>
      <c r="B201" s="1">
        <v>45455</v>
      </c>
      <c r="C201" s="2" t="s">
        <v>18</v>
      </c>
      <c r="D201" s="2" t="s">
        <v>19</v>
      </c>
      <c r="E201" s="7" t="s">
        <v>483</v>
      </c>
      <c r="F201" s="2" t="s">
        <v>20</v>
      </c>
      <c r="G201" s="2" t="s">
        <v>45</v>
      </c>
      <c r="H201" s="2">
        <v>15</v>
      </c>
      <c r="I201" s="3">
        <v>36000</v>
      </c>
      <c r="J201" s="3">
        <v>13000</v>
      </c>
      <c r="K201" s="3" t="str">
        <f t="shared" si="18"/>
        <v>Eko Prasetyo</v>
      </c>
      <c r="L201" s="2" t="str">
        <f>VLOOKUP(MID(A201,5,1),Referensi!$A$1:$C$6,2,FALSE)</f>
        <v>Tunai</v>
      </c>
      <c r="M201" s="2" t="str">
        <f t="shared" si="19"/>
        <v>Lama</v>
      </c>
      <c r="N201" s="8">
        <f t="shared" si="20"/>
        <v>540000</v>
      </c>
      <c r="O201" s="5">
        <f t="shared" si="21"/>
        <v>0</v>
      </c>
      <c r="P201" s="8">
        <f t="shared" si="22"/>
        <v>540000</v>
      </c>
      <c r="Q201" s="8">
        <f>P201-VLOOKUP(MID(A201,5,1),Referensi!$A$1:$C$6,3,FALSE)</f>
        <v>540000</v>
      </c>
      <c r="R201" s="8">
        <f t="shared" si="23"/>
        <v>345000</v>
      </c>
    </row>
    <row r="202" spans="1:18" x14ac:dyDescent="0.2">
      <c r="A202" t="s">
        <v>258</v>
      </c>
      <c r="B202" s="1">
        <v>45455</v>
      </c>
      <c r="C202" s="2" t="s">
        <v>22</v>
      </c>
      <c r="D202" s="2" t="s">
        <v>23</v>
      </c>
      <c r="E202" s="7" t="s">
        <v>484</v>
      </c>
      <c r="F202" s="2" t="s">
        <v>20</v>
      </c>
      <c r="G202" s="2" t="s">
        <v>42</v>
      </c>
      <c r="H202" s="2">
        <v>35</v>
      </c>
      <c r="I202" s="3">
        <v>60000</v>
      </c>
      <c r="J202" s="3">
        <v>25000</v>
      </c>
      <c r="K202" s="3" t="str">
        <f t="shared" si="18"/>
        <v>Fitri Handayani</v>
      </c>
      <c r="L202" s="2" t="str">
        <f>VLOOKUP(MID(A202,5,1),Referensi!$A$1:$C$6,2,FALSE)</f>
        <v>Transfer Bank</v>
      </c>
      <c r="M202" s="2" t="str">
        <f t="shared" si="19"/>
        <v>Lama</v>
      </c>
      <c r="N202" s="8">
        <f t="shared" si="20"/>
        <v>2100000</v>
      </c>
      <c r="O202" s="5">
        <f t="shared" si="21"/>
        <v>0</v>
      </c>
      <c r="P202" s="8">
        <f t="shared" si="22"/>
        <v>2100000</v>
      </c>
      <c r="Q202" s="8">
        <f>P202-VLOOKUP(MID(A202,5,1),Referensi!$A$1:$C$6,3,FALSE)</f>
        <v>2097500</v>
      </c>
      <c r="R202" s="8">
        <f t="shared" si="23"/>
        <v>1222500</v>
      </c>
    </row>
    <row r="203" spans="1:18" x14ac:dyDescent="0.2">
      <c r="A203" t="s">
        <v>259</v>
      </c>
      <c r="B203" s="1">
        <v>45455</v>
      </c>
      <c r="C203" s="2" t="s">
        <v>25</v>
      </c>
      <c r="D203" s="2" t="s">
        <v>37</v>
      </c>
      <c r="E203" s="7" t="s">
        <v>485</v>
      </c>
      <c r="F203" s="2" t="s">
        <v>20</v>
      </c>
      <c r="G203" s="2" t="s">
        <v>41</v>
      </c>
      <c r="H203" s="2">
        <v>31</v>
      </c>
      <c r="I203" s="3">
        <v>75000</v>
      </c>
      <c r="J203" s="3">
        <v>28000</v>
      </c>
      <c r="K203" s="3" t="str">
        <f t="shared" si="18"/>
        <v>Andi Saputra</v>
      </c>
      <c r="L203" s="2" t="str">
        <f>VLOOKUP(MID(A203,5,1),Referensi!$A$1:$C$6,2,FALSE)</f>
        <v>Kartu Debit</v>
      </c>
      <c r="M203" s="2" t="str">
        <f t="shared" si="19"/>
        <v>Lama</v>
      </c>
      <c r="N203" s="8">
        <f t="shared" si="20"/>
        <v>2325000</v>
      </c>
      <c r="O203" s="5">
        <f t="shared" si="21"/>
        <v>0</v>
      </c>
      <c r="P203" s="8">
        <f t="shared" si="22"/>
        <v>2325000</v>
      </c>
      <c r="Q203" s="8">
        <f>P203-VLOOKUP(MID(A203,5,1),Referensi!$A$1:$C$6,3,FALSE)</f>
        <v>2318500</v>
      </c>
      <c r="R203" s="8">
        <f t="shared" si="23"/>
        <v>1450500</v>
      </c>
    </row>
    <row r="204" spans="1:18" x14ac:dyDescent="0.2">
      <c r="A204" t="s">
        <v>260</v>
      </c>
      <c r="B204" s="1">
        <v>45455</v>
      </c>
      <c r="C204" s="2" t="s">
        <v>25</v>
      </c>
      <c r="D204" s="2" t="s">
        <v>37</v>
      </c>
      <c r="E204" s="7" t="s">
        <v>486</v>
      </c>
      <c r="F204" s="2" t="s">
        <v>27</v>
      </c>
      <c r="G204" s="2" t="s">
        <v>28</v>
      </c>
      <c r="H204" s="2">
        <v>39</v>
      </c>
      <c r="I204" s="3">
        <v>295000</v>
      </c>
      <c r="J204" s="3">
        <v>138000</v>
      </c>
      <c r="K204" s="3" t="str">
        <f t="shared" si="18"/>
        <v>Budi Santoso</v>
      </c>
      <c r="L204" s="2" t="str">
        <f>VLOOKUP(MID(A204,5,1),Referensi!$A$1:$C$6,2,FALSE)</f>
        <v>Tunai</v>
      </c>
      <c r="M204" s="2" t="str">
        <f t="shared" si="19"/>
        <v>Baru</v>
      </c>
      <c r="N204" s="8">
        <f t="shared" si="20"/>
        <v>11505000</v>
      </c>
      <c r="O204" s="5">
        <f t="shared" si="21"/>
        <v>0</v>
      </c>
      <c r="P204" s="8">
        <f t="shared" si="22"/>
        <v>11505000</v>
      </c>
      <c r="Q204" s="8">
        <f>P204-VLOOKUP(MID(A204,5,1),Referensi!$A$1:$C$6,3,FALSE)</f>
        <v>11505000</v>
      </c>
      <c r="R204" s="8">
        <f t="shared" si="23"/>
        <v>6123000</v>
      </c>
    </row>
    <row r="205" spans="1:18" x14ac:dyDescent="0.2">
      <c r="A205" t="s">
        <v>261</v>
      </c>
      <c r="B205" s="1">
        <v>45459</v>
      </c>
      <c r="C205" s="2" t="s">
        <v>22</v>
      </c>
      <c r="D205" s="2" t="s">
        <v>29</v>
      </c>
      <c r="E205" s="7" t="s">
        <v>487</v>
      </c>
      <c r="F205" s="2" t="s">
        <v>20</v>
      </c>
      <c r="G205" s="2" t="s">
        <v>45</v>
      </c>
      <c r="H205" s="2">
        <v>27</v>
      </c>
      <c r="I205" s="3">
        <v>36000</v>
      </c>
      <c r="J205" s="3">
        <v>13000</v>
      </c>
      <c r="K205" s="3" t="str">
        <f t="shared" si="18"/>
        <v>Hesti Wulandari</v>
      </c>
      <c r="L205" s="2" t="str">
        <f>VLOOKUP(MID(A205,5,1),Referensi!$A$1:$C$6,2,FALSE)</f>
        <v>QRIS</v>
      </c>
      <c r="M205" s="2" t="str">
        <f t="shared" si="19"/>
        <v>Lama</v>
      </c>
      <c r="N205" s="8">
        <f t="shared" si="20"/>
        <v>972000</v>
      </c>
      <c r="O205" s="5">
        <f t="shared" si="21"/>
        <v>0</v>
      </c>
      <c r="P205" s="8">
        <f t="shared" si="22"/>
        <v>972000</v>
      </c>
      <c r="Q205" s="8">
        <f>P205-VLOOKUP(MID(A205,5,1),Referensi!$A$1:$C$6,3,FALSE)</f>
        <v>971000</v>
      </c>
      <c r="R205" s="8">
        <f t="shared" si="23"/>
        <v>620000</v>
      </c>
    </row>
    <row r="206" spans="1:18" x14ac:dyDescent="0.2">
      <c r="A206" t="s">
        <v>262</v>
      </c>
      <c r="B206" s="1">
        <v>45460</v>
      </c>
      <c r="C206" s="2" t="s">
        <v>18</v>
      </c>
      <c r="D206" s="2" t="s">
        <v>31</v>
      </c>
      <c r="E206" s="7" t="s">
        <v>488</v>
      </c>
      <c r="F206" s="2" t="s">
        <v>16</v>
      </c>
      <c r="G206" s="2" t="s">
        <v>32</v>
      </c>
      <c r="H206" s="2">
        <v>16</v>
      </c>
      <c r="I206" s="3">
        <v>420000</v>
      </c>
      <c r="J206" s="3">
        <v>225000</v>
      </c>
      <c r="K206" s="3" t="str">
        <f t="shared" si="18"/>
        <v>Fitri Handayani</v>
      </c>
      <c r="L206" s="2" t="str">
        <f>VLOOKUP(MID(A206,5,1),Referensi!$A$1:$C$6,2,FALSE)</f>
        <v>Kartu Debit</v>
      </c>
      <c r="M206" s="2" t="str">
        <f t="shared" si="19"/>
        <v>Baru</v>
      </c>
      <c r="N206" s="8">
        <f t="shared" si="20"/>
        <v>6720000</v>
      </c>
      <c r="O206" s="5">
        <f t="shared" si="21"/>
        <v>0</v>
      </c>
      <c r="P206" s="8">
        <f t="shared" si="22"/>
        <v>6720000</v>
      </c>
      <c r="Q206" s="8">
        <f>P206-VLOOKUP(MID(A206,5,1),Referensi!$A$1:$C$6,3,FALSE)</f>
        <v>6713500</v>
      </c>
      <c r="R206" s="8">
        <f t="shared" si="23"/>
        <v>3113500</v>
      </c>
    </row>
    <row r="207" spans="1:18" x14ac:dyDescent="0.2">
      <c r="A207" t="s">
        <v>263</v>
      </c>
      <c r="B207" s="1">
        <v>45460</v>
      </c>
      <c r="C207" s="2" t="s">
        <v>22</v>
      </c>
      <c r="D207" s="2" t="s">
        <v>29</v>
      </c>
      <c r="E207" s="7" t="s">
        <v>489</v>
      </c>
      <c r="F207" s="2" t="s">
        <v>16</v>
      </c>
      <c r="G207" s="2" t="s">
        <v>24</v>
      </c>
      <c r="H207" s="2">
        <v>23</v>
      </c>
      <c r="I207" s="3">
        <v>370000</v>
      </c>
      <c r="J207" s="3">
        <v>195000</v>
      </c>
      <c r="K207" s="3" t="str">
        <f t="shared" si="18"/>
        <v>Budi Santoso</v>
      </c>
      <c r="L207" s="2" t="str">
        <f>VLOOKUP(MID(A207,5,1),Referensi!$A$1:$C$6,2,FALSE)</f>
        <v>QRIS</v>
      </c>
      <c r="M207" s="2" t="str">
        <f t="shared" si="19"/>
        <v>Lama</v>
      </c>
      <c r="N207" s="8">
        <f t="shared" si="20"/>
        <v>8510000</v>
      </c>
      <c r="O207" s="5">
        <f t="shared" si="21"/>
        <v>0</v>
      </c>
      <c r="P207" s="8">
        <f t="shared" si="22"/>
        <v>8510000</v>
      </c>
      <c r="Q207" s="8">
        <f>P207-VLOOKUP(MID(A207,5,1),Referensi!$A$1:$C$6,3,FALSE)</f>
        <v>8509000</v>
      </c>
      <c r="R207" s="8">
        <f t="shared" si="23"/>
        <v>4024000</v>
      </c>
    </row>
    <row r="208" spans="1:18" x14ac:dyDescent="0.2">
      <c r="A208" t="s">
        <v>264</v>
      </c>
      <c r="B208" s="1">
        <v>45461</v>
      </c>
      <c r="C208" s="2" t="s">
        <v>22</v>
      </c>
      <c r="D208" s="2" t="s">
        <v>29</v>
      </c>
      <c r="E208" s="7" t="s">
        <v>490</v>
      </c>
      <c r="F208" s="2" t="s">
        <v>20</v>
      </c>
      <c r="G208" s="2" t="s">
        <v>45</v>
      </c>
      <c r="H208" s="2">
        <v>7</v>
      </c>
      <c r="I208" s="3">
        <v>36000</v>
      </c>
      <c r="J208" s="3">
        <v>13000</v>
      </c>
      <c r="K208" s="3" t="str">
        <f t="shared" si="18"/>
        <v>Budi Santoso</v>
      </c>
      <c r="L208" s="2" t="str">
        <f>VLOOKUP(MID(A208,5,1),Referensi!$A$1:$C$6,2,FALSE)</f>
        <v>Kartu Kredit</v>
      </c>
      <c r="M208" s="2" t="str">
        <f t="shared" si="19"/>
        <v>Baru</v>
      </c>
      <c r="N208" s="8">
        <f t="shared" si="20"/>
        <v>252000</v>
      </c>
      <c r="O208" s="5">
        <f t="shared" si="21"/>
        <v>0</v>
      </c>
      <c r="P208" s="8">
        <f t="shared" si="22"/>
        <v>252000</v>
      </c>
      <c r="Q208" s="8">
        <f>P208-VLOOKUP(MID(A208,5,1),Referensi!$A$1:$C$6,3,FALSE)</f>
        <v>242000</v>
      </c>
      <c r="R208" s="8">
        <f t="shared" si="23"/>
        <v>151000</v>
      </c>
    </row>
    <row r="209" spans="1:18" x14ac:dyDescent="0.2">
      <c r="A209" t="s">
        <v>265</v>
      </c>
      <c r="B209" s="1">
        <v>45461</v>
      </c>
      <c r="C209" s="2" t="s">
        <v>25</v>
      </c>
      <c r="D209" s="2" t="s">
        <v>37</v>
      </c>
      <c r="E209" s="7" t="s">
        <v>491</v>
      </c>
      <c r="F209" s="2" t="s">
        <v>20</v>
      </c>
      <c r="G209" s="2" t="s">
        <v>41</v>
      </c>
      <c r="H209" s="2">
        <v>14</v>
      </c>
      <c r="I209" s="3">
        <v>75000</v>
      </c>
      <c r="J209" s="3">
        <v>28000</v>
      </c>
      <c r="K209" s="3" t="str">
        <f t="shared" si="18"/>
        <v>Dewi Lestari</v>
      </c>
      <c r="L209" s="2" t="str">
        <f>VLOOKUP(MID(A209,5,1),Referensi!$A$1:$C$6,2,FALSE)</f>
        <v>Tunai</v>
      </c>
      <c r="M209" s="2" t="str">
        <f t="shared" si="19"/>
        <v>Lama</v>
      </c>
      <c r="N209" s="8">
        <f t="shared" si="20"/>
        <v>1050000</v>
      </c>
      <c r="O209" s="5">
        <f t="shared" si="21"/>
        <v>0</v>
      </c>
      <c r="P209" s="8">
        <f t="shared" si="22"/>
        <v>1050000</v>
      </c>
      <c r="Q209" s="8">
        <f>P209-VLOOKUP(MID(A209,5,1),Referensi!$A$1:$C$6,3,FALSE)</f>
        <v>1050000</v>
      </c>
      <c r="R209" s="8">
        <f t="shared" si="23"/>
        <v>658000</v>
      </c>
    </row>
    <row r="210" spans="1:18" x14ac:dyDescent="0.2">
      <c r="A210" t="s">
        <v>266</v>
      </c>
      <c r="B210" s="1">
        <v>45463</v>
      </c>
      <c r="C210" s="2" t="s">
        <v>25</v>
      </c>
      <c r="D210" s="2" t="s">
        <v>37</v>
      </c>
      <c r="E210" s="7" t="s">
        <v>492</v>
      </c>
      <c r="F210" s="2" t="s">
        <v>16</v>
      </c>
      <c r="G210" s="2" t="s">
        <v>24</v>
      </c>
      <c r="H210" s="2">
        <v>40</v>
      </c>
      <c r="I210" s="3">
        <v>370000</v>
      </c>
      <c r="J210" s="3">
        <v>195000</v>
      </c>
      <c r="K210" s="3" t="str">
        <f t="shared" si="18"/>
        <v>Hesti Wulandari</v>
      </c>
      <c r="L210" s="2" t="str">
        <f>VLOOKUP(MID(A210,5,1),Referensi!$A$1:$C$6,2,FALSE)</f>
        <v>QRIS</v>
      </c>
      <c r="M210" s="2" t="str">
        <f t="shared" si="19"/>
        <v>Baru</v>
      </c>
      <c r="N210" s="8">
        <f t="shared" si="20"/>
        <v>14800000</v>
      </c>
      <c r="O210" s="5">
        <f t="shared" si="21"/>
        <v>0</v>
      </c>
      <c r="P210" s="8">
        <f t="shared" si="22"/>
        <v>14800000</v>
      </c>
      <c r="Q210" s="8">
        <f>P210-VLOOKUP(MID(A210,5,1),Referensi!$A$1:$C$6,3,FALSE)</f>
        <v>14799000</v>
      </c>
      <c r="R210" s="8">
        <f t="shared" si="23"/>
        <v>6999000</v>
      </c>
    </row>
    <row r="211" spans="1:18" x14ac:dyDescent="0.2">
      <c r="A211" t="s">
        <v>267</v>
      </c>
      <c r="B211" s="1">
        <v>45465</v>
      </c>
      <c r="C211" s="2" t="s">
        <v>22</v>
      </c>
      <c r="D211" s="2" t="s">
        <v>29</v>
      </c>
      <c r="E211" s="7" t="s">
        <v>493</v>
      </c>
      <c r="F211" s="2" t="s">
        <v>16</v>
      </c>
      <c r="G211" s="2" t="s">
        <v>17</v>
      </c>
      <c r="H211" s="2">
        <v>20</v>
      </c>
      <c r="I211" s="3">
        <v>150000</v>
      </c>
      <c r="J211" s="3">
        <v>75000</v>
      </c>
      <c r="K211" s="3" t="str">
        <f t="shared" si="18"/>
        <v>Gilang Ramadhan</v>
      </c>
      <c r="L211" s="2" t="str">
        <f>VLOOKUP(MID(A211,5,1),Referensi!$A$1:$C$6,2,FALSE)</f>
        <v>Tunai</v>
      </c>
      <c r="M211" s="2" t="str">
        <f t="shared" si="19"/>
        <v>Baru</v>
      </c>
      <c r="N211" s="8">
        <f t="shared" si="20"/>
        <v>3000000</v>
      </c>
      <c r="O211" s="5">
        <f t="shared" si="21"/>
        <v>0</v>
      </c>
      <c r="P211" s="8">
        <f t="shared" si="22"/>
        <v>3000000</v>
      </c>
      <c r="Q211" s="8">
        <f>P211-VLOOKUP(MID(A211,5,1),Referensi!$A$1:$C$6,3,FALSE)</f>
        <v>3000000</v>
      </c>
      <c r="R211" s="8">
        <f t="shared" si="23"/>
        <v>1500000</v>
      </c>
    </row>
    <row r="212" spans="1:18" x14ac:dyDescent="0.2">
      <c r="A212" t="s">
        <v>268</v>
      </c>
      <c r="B212" s="1">
        <v>45465</v>
      </c>
      <c r="C212" s="2" t="s">
        <v>22</v>
      </c>
      <c r="D212" s="2" t="s">
        <v>23</v>
      </c>
      <c r="E212" s="7" t="s">
        <v>494</v>
      </c>
      <c r="F212" s="2" t="s">
        <v>20</v>
      </c>
      <c r="G212" s="2" t="s">
        <v>41</v>
      </c>
      <c r="H212" s="2">
        <v>29</v>
      </c>
      <c r="I212" s="3">
        <v>75000</v>
      </c>
      <c r="J212" s="3">
        <v>28000</v>
      </c>
      <c r="K212" s="3" t="str">
        <f t="shared" si="18"/>
        <v>Andi Saputra</v>
      </c>
      <c r="L212" s="2" t="str">
        <f>VLOOKUP(MID(A212,5,1),Referensi!$A$1:$C$6,2,FALSE)</f>
        <v>Kartu Debit</v>
      </c>
      <c r="M212" s="2" t="str">
        <f t="shared" si="19"/>
        <v>Lama</v>
      </c>
      <c r="N212" s="8">
        <f t="shared" si="20"/>
        <v>2175000</v>
      </c>
      <c r="O212" s="5">
        <f t="shared" si="21"/>
        <v>0</v>
      </c>
      <c r="P212" s="8">
        <f t="shared" si="22"/>
        <v>2175000</v>
      </c>
      <c r="Q212" s="8">
        <f>P212-VLOOKUP(MID(A212,5,1),Referensi!$A$1:$C$6,3,FALSE)</f>
        <v>2168500</v>
      </c>
      <c r="R212" s="8">
        <f t="shared" si="23"/>
        <v>1356500</v>
      </c>
    </row>
    <row r="213" spans="1:18" x14ac:dyDescent="0.2">
      <c r="A213" t="s">
        <v>269</v>
      </c>
      <c r="B213" s="1">
        <v>45466</v>
      </c>
      <c r="C213" s="2" t="s">
        <v>12</v>
      </c>
      <c r="D213" s="2" t="s">
        <v>13</v>
      </c>
      <c r="E213" s="7" t="s">
        <v>495</v>
      </c>
      <c r="F213" s="2" t="s">
        <v>16</v>
      </c>
      <c r="G213" s="2" t="s">
        <v>24</v>
      </c>
      <c r="H213" s="2">
        <v>28</v>
      </c>
      <c r="I213" s="3">
        <v>370000</v>
      </c>
      <c r="J213" s="3">
        <v>195000</v>
      </c>
      <c r="K213" s="3" t="str">
        <f t="shared" si="18"/>
        <v>Citra Dewi</v>
      </c>
      <c r="L213" s="2" t="str">
        <f>VLOOKUP(MID(A213,5,1),Referensi!$A$1:$C$6,2,FALSE)</f>
        <v>Transfer Bank</v>
      </c>
      <c r="M213" s="2" t="str">
        <f t="shared" si="19"/>
        <v>Lama</v>
      </c>
      <c r="N213" s="8">
        <f t="shared" si="20"/>
        <v>10360000</v>
      </c>
      <c r="O213" s="5">
        <f t="shared" si="21"/>
        <v>0</v>
      </c>
      <c r="P213" s="8">
        <f t="shared" si="22"/>
        <v>10360000</v>
      </c>
      <c r="Q213" s="8">
        <f>P213-VLOOKUP(MID(A213,5,1),Referensi!$A$1:$C$6,3,FALSE)</f>
        <v>10357500</v>
      </c>
      <c r="R213" s="8">
        <f t="shared" si="23"/>
        <v>4897500</v>
      </c>
    </row>
    <row r="214" spans="1:18" x14ac:dyDescent="0.2">
      <c r="A214" t="s">
        <v>270</v>
      </c>
      <c r="B214" s="1">
        <v>45468</v>
      </c>
      <c r="C214" s="2" t="s">
        <v>22</v>
      </c>
      <c r="D214" s="2" t="s">
        <v>29</v>
      </c>
      <c r="E214" s="7" t="s">
        <v>496</v>
      </c>
      <c r="F214" s="2" t="s">
        <v>14</v>
      </c>
      <c r="G214" s="2" t="s">
        <v>15</v>
      </c>
      <c r="H214" s="2">
        <v>29</v>
      </c>
      <c r="I214" s="3">
        <v>2290000</v>
      </c>
      <c r="J214" s="3">
        <v>1290000</v>
      </c>
      <c r="K214" s="3" t="str">
        <f t="shared" si="18"/>
        <v>Gilang Ramadhan</v>
      </c>
      <c r="L214" s="2" t="str">
        <f>VLOOKUP(MID(A214,5,1),Referensi!$A$1:$C$6,2,FALSE)</f>
        <v>Kartu Debit</v>
      </c>
      <c r="M214" s="2" t="str">
        <f t="shared" si="19"/>
        <v>Lama</v>
      </c>
      <c r="N214" s="8">
        <f t="shared" si="20"/>
        <v>66410000</v>
      </c>
      <c r="O214" s="5">
        <f t="shared" si="21"/>
        <v>0.15</v>
      </c>
      <c r="P214" s="8">
        <f t="shared" si="22"/>
        <v>56448500</v>
      </c>
      <c r="Q214" s="8">
        <f>P214-VLOOKUP(MID(A214,5,1),Referensi!$A$1:$C$6,3,FALSE)</f>
        <v>56442000</v>
      </c>
      <c r="R214" s="8">
        <f t="shared" si="23"/>
        <v>19032000</v>
      </c>
    </row>
    <row r="215" spans="1:18" x14ac:dyDescent="0.2">
      <c r="A215" t="s">
        <v>271</v>
      </c>
      <c r="B215" s="1">
        <v>45468</v>
      </c>
      <c r="C215" s="2" t="s">
        <v>22</v>
      </c>
      <c r="D215" s="2" t="s">
        <v>23</v>
      </c>
      <c r="E215" s="7" t="s">
        <v>497</v>
      </c>
      <c r="F215" s="2" t="s">
        <v>27</v>
      </c>
      <c r="G215" s="2" t="s">
        <v>28</v>
      </c>
      <c r="H215" s="2">
        <v>18</v>
      </c>
      <c r="I215" s="3">
        <v>295000</v>
      </c>
      <c r="J215" s="3">
        <v>138000</v>
      </c>
      <c r="K215" s="3" t="str">
        <f t="shared" si="18"/>
        <v>Dewi Lestari</v>
      </c>
      <c r="L215" s="2" t="str">
        <f>VLOOKUP(MID(A215,5,1),Referensi!$A$1:$C$6,2,FALSE)</f>
        <v>Tunai</v>
      </c>
      <c r="M215" s="2" t="str">
        <f t="shared" si="19"/>
        <v>Lama</v>
      </c>
      <c r="N215" s="8">
        <f t="shared" si="20"/>
        <v>5310000</v>
      </c>
      <c r="O215" s="5">
        <f t="shared" si="21"/>
        <v>0</v>
      </c>
      <c r="P215" s="8">
        <f t="shared" si="22"/>
        <v>5310000</v>
      </c>
      <c r="Q215" s="8">
        <f>P215-VLOOKUP(MID(A215,5,1),Referensi!$A$1:$C$6,3,FALSE)</f>
        <v>5310000</v>
      </c>
      <c r="R215" s="8">
        <f t="shared" si="23"/>
        <v>2826000</v>
      </c>
    </row>
    <row r="216" spans="1:18" x14ac:dyDescent="0.2">
      <c r="A216" t="s">
        <v>272</v>
      </c>
      <c r="B216" s="1">
        <v>45468</v>
      </c>
      <c r="C216" s="2" t="s">
        <v>12</v>
      </c>
      <c r="D216" s="2" t="s">
        <v>33</v>
      </c>
      <c r="E216" s="7" t="s">
        <v>498</v>
      </c>
      <c r="F216" s="2" t="s">
        <v>20</v>
      </c>
      <c r="G216" s="2" t="s">
        <v>38</v>
      </c>
      <c r="H216" s="2">
        <v>25</v>
      </c>
      <c r="I216" s="3">
        <v>48000</v>
      </c>
      <c r="J216" s="3">
        <v>19000</v>
      </c>
      <c r="K216" s="3" t="str">
        <f t="shared" si="18"/>
        <v>Eko Prasetyo</v>
      </c>
      <c r="L216" s="2" t="str">
        <f>VLOOKUP(MID(A216,5,1),Referensi!$A$1:$C$6,2,FALSE)</f>
        <v>Kartu Debit</v>
      </c>
      <c r="M216" s="2" t="str">
        <f t="shared" si="19"/>
        <v>Lama</v>
      </c>
      <c r="N216" s="8">
        <f t="shared" si="20"/>
        <v>1200000</v>
      </c>
      <c r="O216" s="5">
        <f t="shared" si="21"/>
        <v>0</v>
      </c>
      <c r="P216" s="8">
        <f t="shared" si="22"/>
        <v>1200000</v>
      </c>
      <c r="Q216" s="8">
        <f>P216-VLOOKUP(MID(A216,5,1),Referensi!$A$1:$C$6,3,FALSE)</f>
        <v>1193500</v>
      </c>
      <c r="R216" s="8">
        <f t="shared" si="23"/>
        <v>718500</v>
      </c>
    </row>
    <row r="217" spans="1:18" x14ac:dyDescent="0.2">
      <c r="A217" t="s">
        <v>273</v>
      </c>
      <c r="B217" s="1">
        <v>45469</v>
      </c>
      <c r="C217" s="2" t="s">
        <v>22</v>
      </c>
      <c r="D217" s="2" t="s">
        <v>29</v>
      </c>
      <c r="E217" s="7" t="s">
        <v>499</v>
      </c>
      <c r="F217" s="2" t="s">
        <v>14</v>
      </c>
      <c r="G217" s="2" t="s">
        <v>35</v>
      </c>
      <c r="H217" s="2">
        <v>24</v>
      </c>
      <c r="I217" s="3">
        <v>1010000</v>
      </c>
      <c r="J217" s="3">
        <v>535000</v>
      </c>
      <c r="K217" s="3" t="str">
        <f t="shared" si="18"/>
        <v>Andi Saputra</v>
      </c>
      <c r="L217" s="2" t="str">
        <f>VLOOKUP(MID(A217,5,1),Referensi!$A$1:$C$6,2,FALSE)</f>
        <v>QRIS</v>
      </c>
      <c r="M217" s="2" t="str">
        <f t="shared" si="19"/>
        <v>Lama</v>
      </c>
      <c r="N217" s="8">
        <f t="shared" si="20"/>
        <v>24240000</v>
      </c>
      <c r="O217" s="5">
        <f t="shared" si="21"/>
        <v>0</v>
      </c>
      <c r="P217" s="8">
        <f t="shared" si="22"/>
        <v>24240000</v>
      </c>
      <c r="Q217" s="8">
        <f>P217-VLOOKUP(MID(A217,5,1),Referensi!$A$1:$C$6,3,FALSE)</f>
        <v>24239000</v>
      </c>
      <c r="R217" s="8">
        <f t="shared" si="23"/>
        <v>11399000</v>
      </c>
    </row>
    <row r="218" spans="1:18" x14ac:dyDescent="0.2">
      <c r="A218" t="s">
        <v>274</v>
      </c>
      <c r="B218" s="1">
        <v>45470</v>
      </c>
      <c r="C218" s="2" t="s">
        <v>25</v>
      </c>
      <c r="D218" s="2" t="s">
        <v>37</v>
      </c>
      <c r="E218" s="7" t="s">
        <v>500</v>
      </c>
      <c r="F218" s="2" t="s">
        <v>20</v>
      </c>
      <c r="G218" s="2" t="s">
        <v>45</v>
      </c>
      <c r="H218" s="2">
        <v>11</v>
      </c>
      <c r="I218" s="3">
        <v>36000</v>
      </c>
      <c r="J218" s="3">
        <v>13000</v>
      </c>
      <c r="K218" s="3" t="str">
        <f t="shared" si="18"/>
        <v>Andi Saputra</v>
      </c>
      <c r="L218" s="2" t="str">
        <f>VLOOKUP(MID(A218,5,1),Referensi!$A$1:$C$6,2,FALSE)</f>
        <v>Tunai</v>
      </c>
      <c r="M218" s="2" t="str">
        <f t="shared" si="19"/>
        <v>Lama</v>
      </c>
      <c r="N218" s="8">
        <f t="shared" si="20"/>
        <v>396000</v>
      </c>
      <c r="O218" s="5">
        <f t="shared" si="21"/>
        <v>0</v>
      </c>
      <c r="P218" s="8">
        <f t="shared" si="22"/>
        <v>396000</v>
      </c>
      <c r="Q218" s="8">
        <f>P218-VLOOKUP(MID(A218,5,1),Referensi!$A$1:$C$6,3,FALSE)</f>
        <v>396000</v>
      </c>
      <c r="R218" s="8">
        <f t="shared" si="23"/>
        <v>253000</v>
      </c>
    </row>
    <row r="219" spans="1:18" x14ac:dyDescent="0.2">
      <c r="A219" t="s">
        <v>275</v>
      </c>
      <c r="B219" s="1">
        <v>45471</v>
      </c>
      <c r="C219" s="2" t="s">
        <v>12</v>
      </c>
      <c r="D219" s="2" t="s">
        <v>33</v>
      </c>
      <c r="E219" s="7" t="s">
        <v>501</v>
      </c>
      <c r="F219" s="2" t="s">
        <v>16</v>
      </c>
      <c r="G219" s="2" t="s">
        <v>24</v>
      </c>
      <c r="H219" s="2">
        <v>3</v>
      </c>
      <c r="I219" s="3">
        <v>370000</v>
      </c>
      <c r="J219" s="3">
        <v>195000</v>
      </c>
      <c r="K219" s="3" t="str">
        <f t="shared" si="18"/>
        <v>Budi Santoso</v>
      </c>
      <c r="L219" s="2" t="str">
        <f>VLOOKUP(MID(A219,5,1),Referensi!$A$1:$C$6,2,FALSE)</f>
        <v>QRIS</v>
      </c>
      <c r="M219" s="2" t="str">
        <f t="shared" si="19"/>
        <v>Baru</v>
      </c>
      <c r="N219" s="8">
        <f t="shared" si="20"/>
        <v>1110000</v>
      </c>
      <c r="O219" s="5">
        <f t="shared" si="21"/>
        <v>0</v>
      </c>
      <c r="P219" s="8">
        <f t="shared" si="22"/>
        <v>1110000</v>
      </c>
      <c r="Q219" s="8">
        <f>P219-VLOOKUP(MID(A219,5,1),Referensi!$A$1:$C$6,3,FALSE)</f>
        <v>1109000</v>
      </c>
      <c r="R219" s="8">
        <f t="shared" si="23"/>
        <v>524000</v>
      </c>
    </row>
    <row r="220" spans="1:18" x14ac:dyDescent="0.2">
      <c r="A220" t="s">
        <v>276</v>
      </c>
      <c r="B220" s="1">
        <v>45472</v>
      </c>
      <c r="C220" s="2" t="s">
        <v>12</v>
      </c>
      <c r="D220" s="2" t="s">
        <v>13</v>
      </c>
      <c r="E220" s="7" t="s">
        <v>502</v>
      </c>
      <c r="F220" s="2" t="s">
        <v>16</v>
      </c>
      <c r="G220" s="2" t="s">
        <v>36</v>
      </c>
      <c r="H220" s="2">
        <v>9</v>
      </c>
      <c r="I220" s="3">
        <v>280000</v>
      </c>
      <c r="J220" s="3">
        <v>130000</v>
      </c>
      <c r="K220" s="3" t="str">
        <f t="shared" si="18"/>
        <v>Eko Prasetyo</v>
      </c>
      <c r="L220" s="2" t="str">
        <f>VLOOKUP(MID(A220,5,1),Referensi!$A$1:$C$6,2,FALSE)</f>
        <v>Transfer Bank</v>
      </c>
      <c r="M220" s="2" t="str">
        <f t="shared" si="19"/>
        <v>Baru</v>
      </c>
      <c r="N220" s="8">
        <f t="shared" si="20"/>
        <v>2520000</v>
      </c>
      <c r="O220" s="5">
        <f t="shared" si="21"/>
        <v>0</v>
      </c>
      <c r="P220" s="8">
        <f t="shared" si="22"/>
        <v>2520000</v>
      </c>
      <c r="Q220" s="8">
        <f>P220-VLOOKUP(MID(A220,5,1),Referensi!$A$1:$C$6,3,FALSE)</f>
        <v>2517500</v>
      </c>
      <c r="R220" s="8">
        <f t="shared" si="23"/>
        <v>1347500</v>
      </c>
    </row>
    <row r="221" spans="1:18" x14ac:dyDescent="0.2">
      <c r="A221" t="s">
        <v>277</v>
      </c>
      <c r="B221" s="1">
        <v>45473</v>
      </c>
      <c r="C221" s="2" t="s">
        <v>22</v>
      </c>
      <c r="D221" s="2" t="s">
        <v>29</v>
      </c>
      <c r="E221" s="7" t="s">
        <v>503</v>
      </c>
      <c r="F221" s="2" t="s">
        <v>16</v>
      </c>
      <c r="G221" s="2" t="s">
        <v>44</v>
      </c>
      <c r="H221" s="2">
        <v>36</v>
      </c>
      <c r="I221" s="3">
        <v>320000</v>
      </c>
      <c r="J221" s="3">
        <v>160000</v>
      </c>
      <c r="K221" s="3" t="str">
        <f t="shared" si="18"/>
        <v>Andi Saputra</v>
      </c>
      <c r="L221" s="2" t="str">
        <f>VLOOKUP(MID(A221,5,1),Referensi!$A$1:$C$6,2,FALSE)</f>
        <v>Kartu Debit</v>
      </c>
      <c r="M221" s="2" t="str">
        <f t="shared" si="19"/>
        <v>Lama</v>
      </c>
      <c r="N221" s="8">
        <f t="shared" si="20"/>
        <v>11520000</v>
      </c>
      <c r="O221" s="5">
        <f t="shared" si="21"/>
        <v>0</v>
      </c>
      <c r="P221" s="8">
        <f t="shared" si="22"/>
        <v>11520000</v>
      </c>
      <c r="Q221" s="8">
        <f>P221-VLOOKUP(MID(A221,5,1),Referensi!$A$1:$C$6,3,FALSE)</f>
        <v>11513500</v>
      </c>
      <c r="R221" s="8">
        <f t="shared" si="23"/>
        <v>5753500</v>
      </c>
    </row>
    <row r="222" spans="1:18" x14ac:dyDescent="0.2">
      <c r="A222" s="29" t="s">
        <v>508</v>
      </c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8">
        <f>SUM(Q2:Q221)</f>
        <v>2297485500</v>
      </c>
      <c r="R222" s="8">
        <f>SUM(R2:R221)</f>
        <v>1015353500</v>
      </c>
    </row>
    <row r="223" spans="1:18" x14ac:dyDescent="0.2">
      <c r="A223" s="29" t="s">
        <v>509</v>
      </c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8">
        <f>AVERAGE(Q2:Q222)</f>
        <v>20791723.981900454</v>
      </c>
      <c r="R223" s="8">
        <f>AVERAGE(R2:R222)</f>
        <v>9188719.4570135754</v>
      </c>
    </row>
    <row r="224" spans="1:18" x14ac:dyDescent="0.2">
      <c r="A224" s="29" t="s">
        <v>510</v>
      </c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8">
        <f>MAX(Q2:Q221)</f>
        <v>73966000</v>
      </c>
      <c r="R224" s="8">
        <f>MAX(R2:R221)</f>
        <v>24946000</v>
      </c>
    </row>
    <row r="225" spans="1:18" x14ac:dyDescent="0.2">
      <c r="A225" s="29" t="s">
        <v>511</v>
      </c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8">
        <f>MIN(Q2:Q221)</f>
        <v>62000</v>
      </c>
      <c r="R225" s="8">
        <f>MIN(R2:R221)</f>
        <v>36000</v>
      </c>
    </row>
  </sheetData>
  <mergeCells count="4">
    <mergeCell ref="A222:P222"/>
    <mergeCell ref="A223:P223"/>
    <mergeCell ref="A224:P224"/>
    <mergeCell ref="A225:P2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3CEDB-8F52-F344-8049-FD8DAC5D7FAA}">
  <dimension ref="A1:C15"/>
  <sheetViews>
    <sheetView zoomScale="130" zoomScaleNormal="130" workbookViewId="0">
      <selection activeCell="B15" sqref="B15"/>
    </sheetView>
  </sheetViews>
  <sheetFormatPr baseColWidth="10" defaultRowHeight="14" x14ac:dyDescent="0.15"/>
  <cols>
    <col min="1" max="1" width="17.33203125" style="11" bestFit="1" customWidth="1"/>
    <col min="2" max="2" width="19.1640625" style="11" bestFit="1" customWidth="1"/>
    <col min="3" max="3" width="12.33203125" style="11" bestFit="1" customWidth="1"/>
    <col min="4" max="16384" width="10.83203125" style="11"/>
  </cols>
  <sheetData>
    <row r="1" spans="1:3" x14ac:dyDescent="0.15">
      <c r="A1" s="10" t="s">
        <v>281</v>
      </c>
      <c r="B1" s="10" t="s">
        <v>10</v>
      </c>
      <c r="C1" s="10" t="s">
        <v>282</v>
      </c>
    </row>
    <row r="2" spans="1:3" x14ac:dyDescent="0.15">
      <c r="A2" s="12" t="s">
        <v>53</v>
      </c>
      <c r="B2" s="13" t="s">
        <v>48</v>
      </c>
      <c r="C2" s="14">
        <v>6500</v>
      </c>
    </row>
    <row r="3" spans="1:3" x14ac:dyDescent="0.15">
      <c r="A3" s="12" t="s">
        <v>54</v>
      </c>
      <c r="B3" s="13" t="s">
        <v>46</v>
      </c>
      <c r="C3" s="14">
        <v>10000</v>
      </c>
    </row>
    <row r="4" spans="1:3" x14ac:dyDescent="0.15">
      <c r="A4" s="12" t="s">
        <v>55</v>
      </c>
      <c r="B4" s="13" t="s">
        <v>47</v>
      </c>
      <c r="C4" s="14">
        <v>1000</v>
      </c>
    </row>
    <row r="5" spans="1:3" x14ac:dyDescent="0.15">
      <c r="A5" s="12" t="s">
        <v>56</v>
      </c>
      <c r="B5" s="13" t="s">
        <v>49</v>
      </c>
      <c r="C5" s="14">
        <v>2500</v>
      </c>
    </row>
    <row r="6" spans="1:3" x14ac:dyDescent="0.15">
      <c r="A6" s="12" t="s">
        <v>57</v>
      </c>
      <c r="B6" s="13" t="s">
        <v>50</v>
      </c>
      <c r="C6" s="14">
        <v>0</v>
      </c>
    </row>
    <row r="12" spans="1:3" x14ac:dyDescent="0.15">
      <c r="A12" s="15" t="s">
        <v>11</v>
      </c>
      <c r="B12" s="15" t="s">
        <v>283</v>
      </c>
      <c r="C12" s="15" t="s">
        <v>284</v>
      </c>
    </row>
    <row r="13" spans="1:3" x14ac:dyDescent="0.15">
      <c r="A13" s="16" t="s">
        <v>51</v>
      </c>
      <c r="B13" s="16" t="s">
        <v>505</v>
      </c>
      <c r="C13" s="17">
        <v>0.2</v>
      </c>
    </row>
    <row r="14" spans="1:3" x14ac:dyDescent="0.15">
      <c r="A14" s="16" t="s">
        <v>52</v>
      </c>
      <c r="B14" s="16" t="s">
        <v>505</v>
      </c>
      <c r="C14" s="17">
        <v>0.15</v>
      </c>
    </row>
    <row r="15" spans="1:3" x14ac:dyDescent="0.15">
      <c r="A15" s="16" t="s">
        <v>51</v>
      </c>
      <c r="B15" s="16" t="s">
        <v>504</v>
      </c>
      <c r="C15" s="17">
        <v>0.1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7322B-055B-3E4D-8501-42640AABEC50}">
  <dimension ref="A1:H10"/>
  <sheetViews>
    <sheetView zoomScale="130" zoomScaleNormal="130" workbookViewId="0">
      <selection activeCell="C12" sqref="C12"/>
    </sheetView>
  </sheetViews>
  <sheetFormatPr baseColWidth="10" defaultRowHeight="14" x14ac:dyDescent="0.15"/>
  <cols>
    <col min="1" max="1" width="48.6640625" style="11" customWidth="1"/>
    <col min="2" max="2" width="16.83203125" style="11" bestFit="1" customWidth="1"/>
    <col min="3" max="6" width="10.83203125" style="11"/>
    <col min="7" max="7" width="16.83203125" style="11" customWidth="1"/>
    <col min="8" max="8" width="18.5" style="11" bestFit="1" customWidth="1"/>
    <col min="9" max="16384" width="10.83203125" style="11"/>
  </cols>
  <sheetData>
    <row r="1" spans="1:8" x14ac:dyDescent="0.15">
      <c r="A1" s="18" t="s">
        <v>514</v>
      </c>
      <c r="B1" s="14">
        <f>SUMIF('Data Penjualan'!C2:C221,"JAWA",'Data Penjualan'!N2:N221)</f>
        <v>629692000</v>
      </c>
      <c r="G1" s="11" t="s">
        <v>512</v>
      </c>
    </row>
    <row r="2" spans="1:8" x14ac:dyDescent="0.15">
      <c r="A2" s="18" t="s">
        <v>515</v>
      </c>
      <c r="B2" s="19">
        <f>COUNTIF('Data Penjualan'!$C$2:$C$221,"KALIMANTAN")</f>
        <v>55</v>
      </c>
      <c r="G2" s="20" t="s">
        <v>513</v>
      </c>
      <c r="H2" s="20" t="s">
        <v>280</v>
      </c>
    </row>
    <row r="3" spans="1:8" x14ac:dyDescent="0.15">
      <c r="A3" s="18" t="s">
        <v>516</v>
      </c>
      <c r="B3" s="14">
        <f>SUMIF('Data Penjualan'!$D$2:$D$221,"SURABAYA",'Data Penjualan'!$R$2:$R$221)</f>
        <v>95063000</v>
      </c>
      <c r="G3" s="11" t="str" cm="1">
        <f t="array" ref="G3:G10">_xlfn.UNIQUE('Data Penjualan'!K2:K221)</f>
        <v>Hesti Wulandari</v>
      </c>
      <c r="H3" s="21">
        <f>SUMIF('Data Penjualan'!$K$2:$K$221,Insight!G3,'Data Penjualan'!$R$2:$R$221)</f>
        <v>142536500</v>
      </c>
    </row>
    <row r="4" spans="1:8" x14ac:dyDescent="0.15">
      <c r="A4" s="18" t="s">
        <v>519</v>
      </c>
      <c r="B4" s="19">
        <f>SUMIF('Data Penjualan'!$G$2:$G$221,"USB-C HUB",'Data Penjualan'!$H$2:$H$221)</f>
        <v>245</v>
      </c>
      <c r="G4" s="11" t="str">
        <v>Fitri Handayani</v>
      </c>
      <c r="H4" s="21">
        <f>SUMIF('Data Penjualan'!$K$2:$K$221,Insight!G4,'Data Penjualan'!$R$2:$R$221)</f>
        <v>88647000</v>
      </c>
    </row>
    <row r="5" spans="1:8" x14ac:dyDescent="0.15">
      <c r="A5" s="18" t="s">
        <v>520</v>
      </c>
      <c r="B5" s="14">
        <f>AVERAGEIF('Data Penjualan'!$G$2:$G$221,"WEBCAM HD",'Data Penjualan'!$R$2:$R$221)</f>
        <v>3400300</v>
      </c>
      <c r="G5" s="11" t="str">
        <v>Andi Saputra</v>
      </c>
      <c r="H5" s="21">
        <f>SUMIF('Data Penjualan'!$K$2:$K$221,Insight!G5,'Data Penjualan'!$R$2:$R$221)</f>
        <v>134063000</v>
      </c>
    </row>
    <row r="6" spans="1:8" x14ac:dyDescent="0.15">
      <c r="A6" s="18" t="s">
        <v>517</v>
      </c>
      <c r="B6" s="19">
        <f>COUNTIFS('Data Penjualan'!$C$2:$C$221,"SULAWESI",'Data Penjualan'!$B$2:$B$221,"&gt;="&amp;DATE(2024,2,1),'Data Penjualan'!$B$2:$B$221,"&lt;="&amp;DATE(2024,2,29))</f>
        <v>7</v>
      </c>
      <c r="G6" s="11" t="str">
        <v>Citra Dewi</v>
      </c>
      <c r="H6" s="21">
        <f>SUMIF('Data Penjualan'!$K$2:$K$221,Insight!G6,'Data Penjualan'!$R$2:$R$221)</f>
        <v>165101000</v>
      </c>
    </row>
    <row r="7" spans="1:8" x14ac:dyDescent="0.15">
      <c r="A7" s="18" t="s">
        <v>518</v>
      </c>
      <c r="B7" s="14" cm="1">
        <f t="array" ref="B7">SUMPRODUCT('Data Penjualan'!$N$2:$N$221,(MONTH('Data Penjualan'!B2:B221)=4)*1)</f>
        <v>527926000</v>
      </c>
      <c r="G7" s="11" t="str">
        <v>Eko Prasetyo</v>
      </c>
      <c r="H7" s="21">
        <f>SUMIF('Data Penjualan'!$K$2:$K$221,Insight!G7,'Data Penjualan'!$R$2:$R$221)</f>
        <v>125618500</v>
      </c>
    </row>
    <row r="8" spans="1:8" x14ac:dyDescent="0.15">
      <c r="G8" s="11" t="str">
        <v>Gilang Ramadhan</v>
      </c>
      <c r="H8" s="21">
        <f>SUMIF('Data Penjualan'!$K$2:$K$221,Insight!G8,'Data Penjualan'!$R$2:$R$221)</f>
        <v>117138000</v>
      </c>
    </row>
    <row r="9" spans="1:8" x14ac:dyDescent="0.15">
      <c r="G9" s="11" t="str">
        <v>Budi Santoso</v>
      </c>
      <c r="H9" s="21">
        <f>SUMIF('Data Penjualan'!$K$2:$K$221,Insight!G9,'Data Penjualan'!$R$2:$R$221)</f>
        <v>103587500</v>
      </c>
    </row>
    <row r="10" spans="1:8" x14ac:dyDescent="0.15">
      <c r="G10" s="11" t="str">
        <v>Dewi Lestari</v>
      </c>
      <c r="H10" s="21">
        <f>SUMIF('Data Penjualan'!$K$2:$K$221,Insight!G10,'Data Penjualan'!$R$2:$R$221)</f>
        <v>138662000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94559-C93C-ED48-8D8B-1466686B2F9E}">
  <dimension ref="A1:K91"/>
  <sheetViews>
    <sheetView workbookViewId="0">
      <selection activeCell="F26" sqref="F26"/>
    </sheetView>
  </sheetViews>
  <sheetFormatPr baseColWidth="10" defaultRowHeight="16" x14ac:dyDescent="0.2"/>
  <cols>
    <col min="1" max="1" width="31" style="9" bestFit="1" customWidth="1"/>
    <col min="2" max="2" width="17.83203125" style="9" bestFit="1" customWidth="1"/>
    <col min="3" max="3" width="14.6640625" style="9" bestFit="1" customWidth="1"/>
    <col min="4" max="4" width="15.83203125" style="9" bestFit="1" customWidth="1"/>
    <col min="5" max="6" width="14.6640625" style="9" bestFit="1" customWidth="1"/>
    <col min="7" max="9" width="15.83203125" style="9" bestFit="1" customWidth="1"/>
    <col min="10" max="10" width="14.6640625" style="9" bestFit="1" customWidth="1"/>
    <col min="11" max="11" width="17.6640625" style="9" bestFit="1" customWidth="1"/>
    <col min="12" max="12" width="16" style="9" bestFit="1" customWidth="1"/>
    <col min="13" max="13" width="14.33203125" style="9" bestFit="1" customWidth="1"/>
    <col min="14" max="16" width="11.6640625" style="9" bestFit="1" customWidth="1"/>
    <col min="17" max="18" width="12.6640625" style="9" bestFit="1" customWidth="1"/>
    <col min="19" max="19" width="15.1640625" style="9" bestFit="1" customWidth="1"/>
    <col min="20" max="20" width="15.5" style="9" bestFit="1" customWidth="1"/>
    <col min="21" max="21" width="11.6640625" style="9" bestFit="1" customWidth="1"/>
    <col min="22" max="22" width="12.6640625" style="9" bestFit="1" customWidth="1"/>
    <col min="23" max="23" width="15.1640625" style="9" bestFit="1" customWidth="1"/>
    <col min="24" max="16384" width="10.83203125" style="9"/>
  </cols>
  <sheetData>
    <row r="1" spans="1:11" x14ac:dyDescent="0.2">
      <c r="A1" s="22" t="s">
        <v>2</v>
      </c>
      <c r="B1" s="9" t="s">
        <v>526</v>
      </c>
    </row>
    <row r="3" spans="1:11" x14ac:dyDescent="0.2">
      <c r="A3" s="22" t="s">
        <v>524</v>
      </c>
      <c r="B3" s="22" t="s">
        <v>525</v>
      </c>
    </row>
    <row r="4" spans="1:11" x14ac:dyDescent="0.2">
      <c r="A4" s="22" t="s">
        <v>522</v>
      </c>
      <c r="B4" s="9" t="s">
        <v>13</v>
      </c>
      <c r="C4" s="9" t="s">
        <v>40</v>
      </c>
      <c r="D4" s="9" t="s">
        <v>33</v>
      </c>
      <c r="E4" s="9" t="s">
        <v>19</v>
      </c>
      <c r="F4" s="9" t="s">
        <v>37</v>
      </c>
      <c r="G4" s="9" t="s">
        <v>26</v>
      </c>
      <c r="H4" s="9" t="s">
        <v>23</v>
      </c>
      <c r="I4" s="9" t="s">
        <v>29</v>
      </c>
      <c r="J4" s="9" t="s">
        <v>31</v>
      </c>
      <c r="K4" s="9" t="s">
        <v>523</v>
      </c>
    </row>
    <row r="5" spans="1:11" x14ac:dyDescent="0.2">
      <c r="A5" s="23" t="s">
        <v>20</v>
      </c>
      <c r="B5" s="24">
        <v>7744000</v>
      </c>
      <c r="C5" s="24">
        <v>2133000</v>
      </c>
      <c r="D5" s="24">
        <v>7485000</v>
      </c>
      <c r="E5" s="24">
        <v>7647000</v>
      </c>
      <c r="F5" s="24">
        <v>8828000</v>
      </c>
      <c r="G5" s="24">
        <v>3931000</v>
      </c>
      <c r="H5" s="24">
        <v>7165000</v>
      </c>
      <c r="I5" s="24">
        <v>9718500</v>
      </c>
      <c r="J5" s="24">
        <v>3204000</v>
      </c>
      <c r="K5" s="24">
        <v>57855500</v>
      </c>
    </row>
    <row r="6" spans="1:11" x14ac:dyDescent="0.2">
      <c r="A6" s="25" t="s">
        <v>38</v>
      </c>
      <c r="B6" s="24"/>
      <c r="C6" s="24">
        <v>1470000</v>
      </c>
      <c r="D6" s="24">
        <v>718500</v>
      </c>
      <c r="E6" s="24">
        <v>345500</v>
      </c>
      <c r="F6" s="24">
        <v>84500</v>
      </c>
      <c r="G6" s="24">
        <v>463000</v>
      </c>
      <c r="H6" s="24"/>
      <c r="I6" s="24">
        <v>628000</v>
      </c>
      <c r="J6" s="24">
        <v>695000</v>
      </c>
      <c r="K6" s="24">
        <v>4404500</v>
      </c>
    </row>
    <row r="7" spans="1:11" x14ac:dyDescent="0.2">
      <c r="A7" s="25" t="s">
        <v>21</v>
      </c>
      <c r="B7" s="24">
        <v>5303500</v>
      </c>
      <c r="C7" s="24">
        <v>663000</v>
      </c>
      <c r="D7" s="24">
        <v>2563000</v>
      </c>
      <c r="E7" s="24">
        <v>4226500</v>
      </c>
      <c r="F7" s="24">
        <v>5477000</v>
      </c>
      <c r="G7" s="24">
        <v>1411000</v>
      </c>
      <c r="H7" s="24">
        <v>4312500</v>
      </c>
      <c r="I7" s="24">
        <v>5299500</v>
      </c>
      <c r="J7" s="24">
        <v>1408500</v>
      </c>
      <c r="K7" s="24">
        <v>30664500</v>
      </c>
    </row>
    <row r="8" spans="1:11" x14ac:dyDescent="0.2">
      <c r="A8" s="25" t="s">
        <v>41</v>
      </c>
      <c r="B8" s="24">
        <v>2440500</v>
      </c>
      <c r="C8" s="24"/>
      <c r="D8" s="24">
        <v>2709500</v>
      </c>
      <c r="E8" s="24">
        <v>1400000</v>
      </c>
      <c r="F8" s="24">
        <v>2108500</v>
      </c>
      <c r="G8" s="24">
        <v>2057000</v>
      </c>
      <c r="H8" s="24">
        <v>1356500</v>
      </c>
      <c r="I8" s="24">
        <v>1873500</v>
      </c>
      <c r="J8" s="24"/>
      <c r="K8" s="24">
        <v>13945500</v>
      </c>
    </row>
    <row r="9" spans="1:11" x14ac:dyDescent="0.2">
      <c r="A9" s="25" t="s">
        <v>42</v>
      </c>
      <c r="B9" s="24"/>
      <c r="C9" s="24"/>
      <c r="D9" s="24">
        <v>445000</v>
      </c>
      <c r="E9" s="24">
        <v>1330000</v>
      </c>
      <c r="F9" s="24">
        <v>410000</v>
      </c>
      <c r="G9" s="24"/>
      <c r="H9" s="24">
        <v>1496000</v>
      </c>
      <c r="I9" s="24">
        <v>735000</v>
      </c>
      <c r="J9" s="24"/>
      <c r="K9" s="24">
        <v>4416000</v>
      </c>
    </row>
    <row r="10" spans="1:11" x14ac:dyDescent="0.2">
      <c r="A10" s="25" t="s">
        <v>45</v>
      </c>
      <c r="B10" s="24"/>
      <c r="C10" s="24"/>
      <c r="D10" s="24">
        <v>1049000</v>
      </c>
      <c r="E10" s="24">
        <v>345000</v>
      </c>
      <c r="F10" s="24">
        <v>748000</v>
      </c>
      <c r="G10" s="24"/>
      <c r="H10" s="24"/>
      <c r="I10" s="24">
        <v>1182500</v>
      </c>
      <c r="J10" s="24">
        <v>1100500</v>
      </c>
      <c r="K10" s="24">
        <v>4425000</v>
      </c>
    </row>
    <row r="11" spans="1:11" x14ac:dyDescent="0.2">
      <c r="A11" s="23" t="s">
        <v>16</v>
      </c>
      <c r="B11" s="24">
        <v>34907000</v>
      </c>
      <c r="C11" s="24">
        <v>23593500</v>
      </c>
      <c r="D11" s="24">
        <v>32918000</v>
      </c>
      <c r="E11" s="24">
        <v>18517000</v>
      </c>
      <c r="F11" s="24">
        <v>10600500</v>
      </c>
      <c r="G11" s="24">
        <v>35068500</v>
      </c>
      <c r="H11" s="24">
        <v>26544000</v>
      </c>
      <c r="I11" s="24">
        <v>18950000</v>
      </c>
      <c r="J11" s="24">
        <v>33972500</v>
      </c>
      <c r="K11" s="24">
        <v>235071000</v>
      </c>
    </row>
    <row r="12" spans="1:11" x14ac:dyDescent="0.2">
      <c r="A12" s="25" t="s">
        <v>17</v>
      </c>
      <c r="B12" s="24">
        <v>899000</v>
      </c>
      <c r="C12" s="24">
        <v>3433500</v>
      </c>
      <c r="D12" s="24">
        <v>4341000</v>
      </c>
      <c r="E12" s="24"/>
      <c r="F12" s="24"/>
      <c r="G12" s="24">
        <v>443500</v>
      </c>
      <c r="H12" s="24">
        <v>2024000</v>
      </c>
      <c r="I12" s="24">
        <v>4558500</v>
      </c>
      <c r="J12" s="24"/>
      <c r="K12" s="24">
        <v>15699500</v>
      </c>
    </row>
    <row r="13" spans="1:11" x14ac:dyDescent="0.2">
      <c r="A13" s="25" t="s">
        <v>32</v>
      </c>
      <c r="B13" s="24">
        <v>3120000</v>
      </c>
      <c r="C13" s="24">
        <v>5453500</v>
      </c>
      <c r="D13" s="24">
        <v>10135500</v>
      </c>
      <c r="E13" s="24">
        <v>9554000</v>
      </c>
      <c r="F13" s="24">
        <v>2727500</v>
      </c>
      <c r="G13" s="24">
        <v>10521000</v>
      </c>
      <c r="H13" s="24">
        <v>14423500</v>
      </c>
      <c r="I13" s="24"/>
      <c r="J13" s="24">
        <v>4282500</v>
      </c>
      <c r="K13" s="24">
        <v>60217500</v>
      </c>
    </row>
    <row r="14" spans="1:11" x14ac:dyDescent="0.2">
      <c r="A14" s="25" t="s">
        <v>36</v>
      </c>
      <c r="B14" s="24">
        <v>11831000</v>
      </c>
      <c r="C14" s="24">
        <v>4049000</v>
      </c>
      <c r="D14" s="24">
        <v>11092500</v>
      </c>
      <c r="E14" s="24">
        <v>740000</v>
      </c>
      <c r="F14" s="24"/>
      <c r="G14" s="24">
        <v>4797500</v>
      </c>
      <c r="H14" s="24">
        <v>2997500</v>
      </c>
      <c r="I14" s="24">
        <v>3749000</v>
      </c>
      <c r="J14" s="24">
        <v>12740000</v>
      </c>
      <c r="K14" s="24">
        <v>51996500</v>
      </c>
    </row>
    <row r="15" spans="1:11" x14ac:dyDescent="0.2">
      <c r="A15" s="25" t="s">
        <v>44</v>
      </c>
      <c r="B15" s="24"/>
      <c r="C15" s="24">
        <v>3839000</v>
      </c>
      <c r="D15" s="24"/>
      <c r="E15" s="24"/>
      <c r="F15" s="24"/>
      <c r="G15" s="24">
        <v>11970000</v>
      </c>
      <c r="H15" s="24">
        <v>639000</v>
      </c>
      <c r="I15" s="24">
        <v>5753500</v>
      </c>
      <c r="J15" s="24">
        <v>16950000</v>
      </c>
      <c r="K15" s="24">
        <v>39151500</v>
      </c>
    </row>
    <row r="16" spans="1:11" x14ac:dyDescent="0.2">
      <c r="A16" s="25" t="s">
        <v>24</v>
      </c>
      <c r="B16" s="24">
        <v>19057000</v>
      </c>
      <c r="C16" s="24">
        <v>6818500</v>
      </c>
      <c r="D16" s="24">
        <v>7349000</v>
      </c>
      <c r="E16" s="24">
        <v>8223000</v>
      </c>
      <c r="F16" s="24">
        <v>7873000</v>
      </c>
      <c r="G16" s="24">
        <v>7336500</v>
      </c>
      <c r="H16" s="24">
        <v>6460000</v>
      </c>
      <c r="I16" s="24">
        <v>4889000</v>
      </c>
      <c r="J16" s="24"/>
      <c r="K16" s="24">
        <v>68006000</v>
      </c>
    </row>
    <row r="17" spans="1:11" x14ac:dyDescent="0.2">
      <c r="A17" s="23" t="s">
        <v>14</v>
      </c>
      <c r="B17" s="24">
        <v>63868000</v>
      </c>
      <c r="C17" s="24">
        <v>59321000</v>
      </c>
      <c r="D17" s="24">
        <v>82474000</v>
      </c>
      <c r="E17" s="24">
        <v>50392500</v>
      </c>
      <c r="F17" s="24">
        <v>56072500</v>
      </c>
      <c r="G17" s="24">
        <v>75185500</v>
      </c>
      <c r="H17" s="24">
        <v>71137000</v>
      </c>
      <c r="I17" s="24">
        <v>114073000</v>
      </c>
      <c r="J17" s="24">
        <v>57287500</v>
      </c>
      <c r="K17" s="24">
        <v>629811000</v>
      </c>
    </row>
    <row r="18" spans="1:11" x14ac:dyDescent="0.2">
      <c r="A18" s="25" t="s">
        <v>39</v>
      </c>
      <c r="B18" s="24">
        <v>15119000</v>
      </c>
      <c r="C18" s="24"/>
      <c r="D18" s="24"/>
      <c r="E18" s="24"/>
      <c r="F18" s="24">
        <v>20790500</v>
      </c>
      <c r="G18" s="24">
        <v>11759000</v>
      </c>
      <c r="H18" s="24">
        <v>35268500</v>
      </c>
      <c r="I18" s="24">
        <v>64954500</v>
      </c>
      <c r="J18" s="24">
        <v>52290000</v>
      </c>
      <c r="K18" s="24">
        <v>200181500</v>
      </c>
    </row>
    <row r="19" spans="1:11" x14ac:dyDescent="0.2">
      <c r="A19" s="25" t="s">
        <v>35</v>
      </c>
      <c r="B19" s="24"/>
      <c r="C19" s="24">
        <v>19940000</v>
      </c>
      <c r="D19" s="24">
        <v>27668500</v>
      </c>
      <c r="E19" s="24">
        <v>17904500</v>
      </c>
      <c r="F19" s="24"/>
      <c r="G19" s="24">
        <v>18523000</v>
      </c>
      <c r="H19" s="24">
        <v>10922500</v>
      </c>
      <c r="I19" s="24">
        <v>11399000</v>
      </c>
      <c r="J19" s="24"/>
      <c r="K19" s="24">
        <v>106357500</v>
      </c>
    </row>
    <row r="20" spans="1:11" x14ac:dyDescent="0.2">
      <c r="A20" s="25" t="s">
        <v>15</v>
      </c>
      <c r="B20" s="24">
        <v>45105000</v>
      </c>
      <c r="C20" s="24">
        <v>39381000</v>
      </c>
      <c r="D20" s="24">
        <v>50762000</v>
      </c>
      <c r="E20" s="24"/>
      <c r="F20" s="24">
        <v>35282000</v>
      </c>
      <c r="G20" s="24">
        <v>31545000</v>
      </c>
      <c r="H20" s="24">
        <v>24946000</v>
      </c>
      <c r="I20" s="24">
        <v>30029500</v>
      </c>
      <c r="J20" s="24">
        <v>4997500</v>
      </c>
      <c r="K20" s="24">
        <v>262048000</v>
      </c>
    </row>
    <row r="21" spans="1:11" x14ac:dyDescent="0.2">
      <c r="A21" s="25" t="s">
        <v>34</v>
      </c>
      <c r="B21" s="24">
        <v>3644000</v>
      </c>
      <c r="C21" s="24"/>
      <c r="D21" s="24">
        <v>4043500</v>
      </c>
      <c r="E21" s="24">
        <v>32488000</v>
      </c>
      <c r="F21" s="24"/>
      <c r="G21" s="24">
        <v>13358500</v>
      </c>
      <c r="H21" s="24"/>
      <c r="I21" s="24">
        <v>7690000</v>
      </c>
      <c r="J21" s="24"/>
      <c r="K21" s="24">
        <v>61224000</v>
      </c>
    </row>
    <row r="22" spans="1:11" x14ac:dyDescent="0.2">
      <c r="A22" s="23" t="s">
        <v>27</v>
      </c>
      <c r="B22" s="24">
        <v>10470500</v>
      </c>
      <c r="C22" s="24">
        <v>5299000</v>
      </c>
      <c r="D22" s="24">
        <v>10369500</v>
      </c>
      <c r="E22" s="24">
        <v>6790000</v>
      </c>
      <c r="F22" s="24">
        <v>13489500</v>
      </c>
      <c r="G22" s="24">
        <v>13814500</v>
      </c>
      <c r="H22" s="24">
        <v>5591500</v>
      </c>
      <c r="I22" s="24">
        <v>26192500</v>
      </c>
      <c r="J22" s="24">
        <v>599000</v>
      </c>
      <c r="K22" s="24">
        <v>92616000</v>
      </c>
    </row>
    <row r="23" spans="1:11" x14ac:dyDescent="0.2">
      <c r="A23" s="25" t="s">
        <v>28</v>
      </c>
      <c r="B23" s="24">
        <v>8159000</v>
      </c>
      <c r="C23" s="24">
        <v>4709000</v>
      </c>
      <c r="D23" s="24">
        <v>2511000</v>
      </c>
      <c r="E23" s="24">
        <v>6279000</v>
      </c>
      <c r="F23" s="24">
        <v>6123000</v>
      </c>
      <c r="G23" s="24">
        <v>7526000</v>
      </c>
      <c r="H23" s="24">
        <v>5016500</v>
      </c>
      <c r="I23" s="24">
        <v>16471500</v>
      </c>
      <c r="J23" s="24"/>
      <c r="K23" s="24">
        <v>56795000</v>
      </c>
    </row>
    <row r="24" spans="1:11" x14ac:dyDescent="0.2">
      <c r="A24" s="25" t="s">
        <v>30</v>
      </c>
      <c r="B24" s="24">
        <v>1014000</v>
      </c>
      <c r="C24" s="24"/>
      <c r="D24" s="24">
        <v>7465000</v>
      </c>
      <c r="E24" s="24">
        <v>511000</v>
      </c>
      <c r="F24" s="24">
        <v>2921500</v>
      </c>
      <c r="G24" s="24">
        <v>4341000</v>
      </c>
      <c r="H24" s="24">
        <v>575000</v>
      </c>
      <c r="I24" s="24">
        <v>9721000</v>
      </c>
      <c r="J24" s="24"/>
      <c r="K24" s="24">
        <v>26548500</v>
      </c>
    </row>
    <row r="25" spans="1:11" x14ac:dyDescent="0.2">
      <c r="A25" s="25" t="s">
        <v>43</v>
      </c>
      <c r="B25" s="24">
        <v>1297500</v>
      </c>
      <c r="C25" s="24">
        <v>590000</v>
      </c>
      <c r="D25" s="24">
        <v>393500</v>
      </c>
      <c r="E25" s="24"/>
      <c r="F25" s="24">
        <v>4445000</v>
      </c>
      <c r="G25" s="24">
        <v>1947500</v>
      </c>
      <c r="H25" s="24"/>
      <c r="I25" s="24"/>
      <c r="J25" s="24">
        <v>599000</v>
      </c>
      <c r="K25" s="24">
        <v>9272500</v>
      </c>
    </row>
    <row r="26" spans="1:11" x14ac:dyDescent="0.2">
      <c r="A26" s="23" t="s">
        <v>523</v>
      </c>
      <c r="B26" s="24">
        <v>116989500</v>
      </c>
      <c r="C26" s="24">
        <v>90346500</v>
      </c>
      <c r="D26" s="24">
        <v>133246500</v>
      </c>
      <c r="E26" s="24">
        <v>83346500</v>
      </c>
      <c r="F26" s="24">
        <v>88990500</v>
      </c>
      <c r="G26" s="24">
        <v>127999500</v>
      </c>
      <c r="H26" s="24">
        <v>110437500</v>
      </c>
      <c r="I26" s="24">
        <v>168934000</v>
      </c>
      <c r="J26" s="24">
        <v>95063000</v>
      </c>
      <c r="K26" s="24">
        <v>1015353500</v>
      </c>
    </row>
    <row r="27" spans="1:11" x14ac:dyDescent="0.2">
      <c r="A27"/>
      <c r="B27"/>
      <c r="C27"/>
      <c r="D27"/>
      <c r="E27"/>
      <c r="F27"/>
      <c r="G27"/>
      <c r="H27"/>
      <c r="I27"/>
      <c r="J27"/>
      <c r="K27"/>
    </row>
    <row r="28" spans="1:11" x14ac:dyDescent="0.2">
      <c r="A28"/>
      <c r="B28"/>
      <c r="C28"/>
      <c r="D28"/>
      <c r="E28"/>
      <c r="F28"/>
      <c r="G28"/>
      <c r="H28"/>
      <c r="I28"/>
      <c r="J28"/>
      <c r="K28"/>
    </row>
    <row r="29" spans="1:11" x14ac:dyDescent="0.2">
      <c r="A29"/>
      <c r="B29"/>
      <c r="C29"/>
      <c r="D29"/>
      <c r="E29"/>
      <c r="F29"/>
      <c r="G29"/>
      <c r="H29"/>
      <c r="I29"/>
      <c r="J29"/>
      <c r="K29"/>
    </row>
    <row r="30" spans="1:11" x14ac:dyDescent="0.2">
      <c r="A30"/>
      <c r="B30"/>
      <c r="C30"/>
      <c r="D30"/>
      <c r="E30"/>
      <c r="F30"/>
      <c r="G30"/>
      <c r="H30"/>
      <c r="I30"/>
      <c r="J30"/>
      <c r="K30"/>
    </row>
    <row r="31" spans="1:11" x14ac:dyDescent="0.2">
      <c r="A31"/>
      <c r="B31"/>
      <c r="C31"/>
      <c r="D31"/>
      <c r="E31"/>
      <c r="F31"/>
      <c r="G31"/>
      <c r="H31"/>
      <c r="I31"/>
      <c r="J31"/>
      <c r="K31"/>
    </row>
    <row r="32" spans="1:11" x14ac:dyDescent="0.2">
      <c r="A32"/>
      <c r="B32"/>
      <c r="C32"/>
      <c r="D32"/>
      <c r="E32"/>
      <c r="F32"/>
      <c r="G32"/>
      <c r="H32"/>
      <c r="I32"/>
      <c r="J32"/>
      <c r="K32"/>
    </row>
    <row r="33" spans="1:11" x14ac:dyDescent="0.2">
      <c r="A33"/>
      <c r="B33"/>
      <c r="C33"/>
      <c r="D33"/>
      <c r="E33"/>
      <c r="F33"/>
      <c r="G33"/>
      <c r="H33"/>
      <c r="I33"/>
      <c r="J33"/>
      <c r="K33"/>
    </row>
    <row r="34" spans="1:11" x14ac:dyDescent="0.2">
      <c r="A34"/>
      <c r="B34"/>
      <c r="C34"/>
      <c r="D34"/>
      <c r="E34"/>
      <c r="F34"/>
      <c r="G34"/>
      <c r="H34"/>
      <c r="I34"/>
      <c r="J34"/>
      <c r="K34"/>
    </row>
    <row r="35" spans="1:11" x14ac:dyDescent="0.2">
      <c r="A35"/>
      <c r="B35"/>
      <c r="C35"/>
      <c r="D35"/>
      <c r="E35"/>
      <c r="F35"/>
      <c r="G35"/>
      <c r="H35"/>
      <c r="I35"/>
      <c r="J35"/>
      <c r="K35"/>
    </row>
    <row r="36" spans="1:11" x14ac:dyDescent="0.2">
      <c r="A36"/>
      <c r="B36"/>
      <c r="C36"/>
      <c r="D36"/>
      <c r="E36"/>
      <c r="F36"/>
      <c r="G36"/>
      <c r="H36"/>
      <c r="I36"/>
      <c r="J36"/>
      <c r="K36"/>
    </row>
    <row r="37" spans="1:11" x14ac:dyDescent="0.2">
      <c r="A37"/>
      <c r="B37"/>
      <c r="C37"/>
      <c r="D37"/>
      <c r="E37"/>
      <c r="F37"/>
      <c r="G37"/>
      <c r="H37"/>
      <c r="I37"/>
      <c r="J37"/>
      <c r="K37"/>
    </row>
    <row r="38" spans="1:11" x14ac:dyDescent="0.2">
      <c r="A38"/>
      <c r="B38"/>
      <c r="C38"/>
      <c r="D38"/>
      <c r="E38"/>
      <c r="F38"/>
      <c r="G38"/>
      <c r="H38"/>
      <c r="I38"/>
      <c r="J38"/>
      <c r="K38"/>
    </row>
    <row r="39" spans="1:11" x14ac:dyDescent="0.2">
      <c r="A39"/>
      <c r="B39"/>
      <c r="C39"/>
      <c r="D39"/>
      <c r="E39"/>
      <c r="F39"/>
      <c r="G39"/>
      <c r="H39"/>
      <c r="I39"/>
      <c r="J39"/>
      <c r="K39"/>
    </row>
    <row r="40" spans="1:11" x14ac:dyDescent="0.2">
      <c r="A40"/>
      <c r="B40"/>
      <c r="C40"/>
      <c r="D40"/>
      <c r="E40"/>
      <c r="F40"/>
      <c r="G40"/>
      <c r="H40"/>
      <c r="I40"/>
      <c r="J40"/>
      <c r="K40"/>
    </row>
    <row r="41" spans="1:11" x14ac:dyDescent="0.2">
      <c r="A41"/>
      <c r="B41"/>
      <c r="C41"/>
      <c r="D41"/>
      <c r="E41"/>
      <c r="F41"/>
      <c r="G41"/>
      <c r="H41"/>
      <c r="I41"/>
      <c r="J41"/>
      <c r="K41"/>
    </row>
    <row r="42" spans="1:11" x14ac:dyDescent="0.2">
      <c r="A42"/>
      <c r="B42"/>
      <c r="C42"/>
      <c r="D42"/>
      <c r="E42"/>
      <c r="F42"/>
      <c r="G42"/>
      <c r="H42"/>
      <c r="I42"/>
      <c r="J42"/>
      <c r="K42"/>
    </row>
    <row r="43" spans="1:11" x14ac:dyDescent="0.2">
      <c r="A43"/>
      <c r="B43"/>
      <c r="C43"/>
      <c r="D43"/>
      <c r="E43"/>
      <c r="F43"/>
      <c r="G43"/>
      <c r="H43"/>
      <c r="I43"/>
      <c r="J43"/>
      <c r="K43"/>
    </row>
    <row r="44" spans="1:11" x14ac:dyDescent="0.2">
      <c r="A44"/>
      <c r="B44"/>
      <c r="C44"/>
      <c r="D44"/>
      <c r="E44"/>
      <c r="F44"/>
      <c r="G44"/>
      <c r="H44"/>
      <c r="I44"/>
      <c r="J44"/>
      <c r="K44"/>
    </row>
    <row r="45" spans="1:11" x14ac:dyDescent="0.2">
      <c r="A45"/>
      <c r="B45"/>
      <c r="C45"/>
      <c r="D45"/>
      <c r="E45"/>
      <c r="F45"/>
      <c r="G45"/>
      <c r="H45"/>
      <c r="I45"/>
      <c r="J45"/>
      <c r="K45"/>
    </row>
    <row r="46" spans="1:11" x14ac:dyDescent="0.2">
      <c r="A46"/>
      <c r="B46"/>
      <c r="C46"/>
      <c r="D46"/>
      <c r="E46"/>
      <c r="F46"/>
      <c r="G46"/>
      <c r="H46"/>
      <c r="I46"/>
      <c r="J46"/>
      <c r="K46"/>
    </row>
    <row r="47" spans="1:11" x14ac:dyDescent="0.2">
      <c r="A47"/>
      <c r="B47"/>
      <c r="C47"/>
      <c r="D47"/>
      <c r="E47"/>
      <c r="F47"/>
      <c r="G47"/>
      <c r="H47"/>
      <c r="I47"/>
      <c r="J47"/>
      <c r="K47"/>
    </row>
    <row r="48" spans="1:11" x14ac:dyDescent="0.2">
      <c r="A48"/>
      <c r="B48"/>
      <c r="C48"/>
      <c r="D48"/>
      <c r="E48"/>
      <c r="F48"/>
      <c r="G48"/>
      <c r="H48"/>
      <c r="I48"/>
      <c r="J48"/>
      <c r="K48"/>
    </row>
    <row r="49" spans="1:11" x14ac:dyDescent="0.2">
      <c r="A49"/>
      <c r="B49"/>
      <c r="C49"/>
      <c r="D49"/>
      <c r="E49"/>
      <c r="F49"/>
      <c r="G49"/>
      <c r="H49"/>
      <c r="I49"/>
      <c r="J49"/>
      <c r="K49"/>
    </row>
    <row r="50" spans="1:11" x14ac:dyDescent="0.2">
      <c r="A50"/>
      <c r="B50"/>
      <c r="C50"/>
      <c r="D50"/>
      <c r="E50"/>
      <c r="F50"/>
      <c r="G50"/>
      <c r="H50"/>
      <c r="I50"/>
      <c r="J50"/>
      <c r="K50"/>
    </row>
    <row r="51" spans="1:11" x14ac:dyDescent="0.2">
      <c r="A51"/>
      <c r="B51"/>
      <c r="C51"/>
      <c r="D51"/>
      <c r="E51"/>
      <c r="F51"/>
      <c r="G51"/>
      <c r="H51"/>
      <c r="I51"/>
      <c r="J51"/>
      <c r="K51"/>
    </row>
    <row r="52" spans="1:11" x14ac:dyDescent="0.2">
      <c r="A52"/>
      <c r="B52"/>
      <c r="C52"/>
      <c r="D52"/>
      <c r="E52"/>
      <c r="F52"/>
      <c r="G52"/>
      <c r="H52"/>
      <c r="I52"/>
      <c r="J52"/>
      <c r="K52"/>
    </row>
    <row r="53" spans="1:11" x14ac:dyDescent="0.2">
      <c r="A53"/>
      <c r="B53"/>
      <c r="C53"/>
      <c r="D53"/>
      <c r="E53"/>
      <c r="F53"/>
      <c r="G53"/>
      <c r="H53"/>
      <c r="I53"/>
      <c r="J53"/>
      <c r="K53"/>
    </row>
    <row r="54" spans="1:11" x14ac:dyDescent="0.2">
      <c r="A54"/>
      <c r="B54"/>
      <c r="C54"/>
      <c r="D54"/>
      <c r="E54"/>
      <c r="F54"/>
      <c r="G54"/>
      <c r="H54"/>
      <c r="I54"/>
      <c r="J54"/>
      <c r="K54"/>
    </row>
    <row r="55" spans="1:11" x14ac:dyDescent="0.2">
      <c r="A55"/>
      <c r="B55"/>
      <c r="C55"/>
      <c r="D55"/>
      <c r="E55"/>
      <c r="F55"/>
      <c r="G55"/>
      <c r="H55"/>
      <c r="I55"/>
      <c r="J55"/>
      <c r="K55"/>
    </row>
    <row r="56" spans="1:11" x14ac:dyDescent="0.2">
      <c r="A56"/>
      <c r="B56"/>
      <c r="C56"/>
      <c r="D56"/>
      <c r="E56"/>
      <c r="F56"/>
      <c r="G56"/>
      <c r="H56"/>
      <c r="I56"/>
      <c r="J56"/>
      <c r="K56"/>
    </row>
    <row r="57" spans="1:11" x14ac:dyDescent="0.2">
      <c r="A57"/>
      <c r="B57"/>
      <c r="C57"/>
      <c r="D57"/>
      <c r="E57"/>
      <c r="F57"/>
      <c r="G57"/>
      <c r="H57"/>
      <c r="I57"/>
      <c r="J57"/>
      <c r="K57"/>
    </row>
    <row r="58" spans="1:11" x14ac:dyDescent="0.2">
      <c r="A58"/>
      <c r="B58"/>
      <c r="C58"/>
      <c r="D58"/>
      <c r="E58"/>
      <c r="F58"/>
      <c r="G58"/>
      <c r="H58"/>
      <c r="I58"/>
      <c r="J58"/>
      <c r="K58"/>
    </row>
    <row r="59" spans="1:11" x14ac:dyDescent="0.2">
      <c r="A59"/>
      <c r="B59"/>
      <c r="C59"/>
      <c r="D59"/>
      <c r="E59"/>
      <c r="F59"/>
      <c r="G59"/>
      <c r="H59"/>
      <c r="I59"/>
      <c r="J59"/>
      <c r="K59"/>
    </row>
    <row r="60" spans="1:11" x14ac:dyDescent="0.2">
      <c r="A60"/>
      <c r="B60"/>
      <c r="C60"/>
      <c r="D60"/>
      <c r="E60"/>
      <c r="F60"/>
      <c r="G60"/>
      <c r="H60"/>
      <c r="I60"/>
      <c r="J60"/>
      <c r="K60"/>
    </row>
    <row r="61" spans="1:11" x14ac:dyDescent="0.2">
      <c r="A61"/>
      <c r="B61"/>
      <c r="C61"/>
      <c r="D61"/>
      <c r="E61"/>
      <c r="F61"/>
      <c r="G61"/>
      <c r="H61"/>
      <c r="I61"/>
      <c r="J61"/>
      <c r="K61"/>
    </row>
    <row r="62" spans="1:11" x14ac:dyDescent="0.2">
      <c r="A62"/>
      <c r="B62"/>
      <c r="C62"/>
      <c r="D62"/>
      <c r="E62"/>
      <c r="F62"/>
      <c r="G62"/>
      <c r="H62"/>
      <c r="I62"/>
      <c r="J62"/>
      <c r="K62"/>
    </row>
    <row r="63" spans="1:11" x14ac:dyDescent="0.2">
      <c r="A63"/>
      <c r="B63"/>
      <c r="C63"/>
      <c r="D63"/>
      <c r="E63"/>
      <c r="F63"/>
      <c r="G63"/>
      <c r="H63"/>
      <c r="I63"/>
      <c r="J63"/>
      <c r="K63"/>
    </row>
    <row r="64" spans="1:11" x14ac:dyDescent="0.2">
      <c r="A64"/>
      <c r="B64"/>
      <c r="C64"/>
      <c r="D64"/>
      <c r="E64"/>
      <c r="F64"/>
      <c r="G64"/>
      <c r="H64"/>
      <c r="I64"/>
      <c r="J64"/>
      <c r="K64"/>
    </row>
    <row r="65" spans="1:11" x14ac:dyDescent="0.2">
      <c r="A65"/>
      <c r="B65"/>
      <c r="C65"/>
      <c r="D65"/>
      <c r="E65"/>
      <c r="F65"/>
      <c r="G65"/>
      <c r="H65"/>
      <c r="I65"/>
      <c r="J65"/>
      <c r="K65"/>
    </row>
    <row r="66" spans="1:11" x14ac:dyDescent="0.2">
      <c r="A66"/>
      <c r="B66"/>
      <c r="C66"/>
      <c r="D66"/>
      <c r="E66"/>
      <c r="F66"/>
      <c r="G66"/>
      <c r="H66"/>
      <c r="I66"/>
      <c r="J66"/>
      <c r="K66"/>
    </row>
    <row r="67" spans="1:11" x14ac:dyDescent="0.2">
      <c r="A67"/>
      <c r="B67"/>
      <c r="C67"/>
      <c r="D67"/>
      <c r="E67"/>
      <c r="F67"/>
      <c r="G67"/>
      <c r="H67"/>
      <c r="I67"/>
      <c r="J67"/>
      <c r="K67"/>
    </row>
    <row r="68" spans="1:11" x14ac:dyDescent="0.2">
      <c r="A68"/>
      <c r="B68"/>
      <c r="C68"/>
      <c r="D68"/>
      <c r="E68"/>
      <c r="F68"/>
      <c r="G68"/>
      <c r="H68"/>
      <c r="I68"/>
      <c r="J68"/>
      <c r="K68"/>
    </row>
    <row r="69" spans="1:11" x14ac:dyDescent="0.2">
      <c r="A69"/>
      <c r="B69"/>
      <c r="C69"/>
      <c r="D69"/>
      <c r="E69"/>
      <c r="F69"/>
      <c r="G69"/>
      <c r="H69"/>
      <c r="I69"/>
      <c r="J69"/>
      <c r="K69"/>
    </row>
    <row r="70" spans="1:11" x14ac:dyDescent="0.2">
      <c r="A70"/>
      <c r="B70"/>
      <c r="C70"/>
      <c r="D70"/>
      <c r="E70"/>
      <c r="F70"/>
      <c r="G70"/>
      <c r="H70"/>
      <c r="I70"/>
      <c r="J70"/>
      <c r="K70"/>
    </row>
    <row r="71" spans="1:11" x14ac:dyDescent="0.2">
      <c r="A71"/>
      <c r="B71"/>
      <c r="C71"/>
      <c r="D71"/>
      <c r="E71"/>
      <c r="F71"/>
      <c r="G71"/>
      <c r="H71"/>
      <c r="I71"/>
      <c r="J71"/>
      <c r="K71"/>
    </row>
    <row r="72" spans="1:11" x14ac:dyDescent="0.2">
      <c r="A72"/>
      <c r="B72"/>
      <c r="C72"/>
      <c r="D72"/>
      <c r="E72"/>
      <c r="F72"/>
      <c r="G72"/>
      <c r="H72"/>
      <c r="I72"/>
      <c r="J72"/>
      <c r="K72"/>
    </row>
    <row r="73" spans="1:11" x14ac:dyDescent="0.2">
      <c r="A73"/>
      <c r="B73"/>
      <c r="C73"/>
      <c r="D73"/>
      <c r="E73"/>
      <c r="F73"/>
      <c r="G73"/>
      <c r="H73"/>
      <c r="I73"/>
      <c r="J73"/>
      <c r="K73"/>
    </row>
    <row r="74" spans="1:11" x14ac:dyDescent="0.2">
      <c r="A74"/>
      <c r="B74"/>
      <c r="C74"/>
      <c r="D74"/>
      <c r="E74"/>
      <c r="F74"/>
      <c r="G74"/>
      <c r="H74"/>
      <c r="I74"/>
      <c r="J74"/>
      <c r="K74"/>
    </row>
    <row r="75" spans="1:11" x14ac:dyDescent="0.2">
      <c r="A75"/>
      <c r="B75"/>
      <c r="C75"/>
      <c r="D75"/>
      <c r="E75"/>
      <c r="F75"/>
      <c r="G75"/>
      <c r="H75"/>
      <c r="I75"/>
      <c r="J75"/>
      <c r="K75"/>
    </row>
    <row r="76" spans="1:11" x14ac:dyDescent="0.2">
      <c r="A76"/>
      <c r="B76"/>
      <c r="C76"/>
      <c r="D76"/>
      <c r="E76"/>
      <c r="F76"/>
      <c r="G76"/>
      <c r="H76"/>
      <c r="I76"/>
      <c r="J76"/>
      <c r="K76"/>
    </row>
    <row r="77" spans="1:11" x14ac:dyDescent="0.2">
      <c r="A77"/>
      <c r="B77"/>
      <c r="C77"/>
      <c r="D77"/>
      <c r="E77"/>
      <c r="F77"/>
      <c r="G77"/>
      <c r="H77"/>
      <c r="I77"/>
      <c r="J77"/>
      <c r="K77"/>
    </row>
    <row r="78" spans="1:11" x14ac:dyDescent="0.2">
      <c r="A78"/>
      <c r="B78"/>
      <c r="C78"/>
      <c r="D78"/>
      <c r="E78"/>
      <c r="F78"/>
      <c r="G78"/>
      <c r="H78"/>
      <c r="I78"/>
      <c r="J78"/>
      <c r="K78"/>
    </row>
    <row r="79" spans="1:11" x14ac:dyDescent="0.2">
      <c r="A79"/>
      <c r="B79"/>
      <c r="C79"/>
      <c r="D79"/>
      <c r="E79"/>
      <c r="F79"/>
      <c r="G79"/>
      <c r="H79"/>
      <c r="I79"/>
      <c r="J79"/>
      <c r="K79"/>
    </row>
    <row r="80" spans="1:11" x14ac:dyDescent="0.2">
      <c r="A80"/>
      <c r="B80"/>
      <c r="C80"/>
      <c r="D80"/>
      <c r="E80"/>
      <c r="F80"/>
      <c r="G80"/>
      <c r="H80"/>
      <c r="I80"/>
      <c r="J80"/>
      <c r="K80"/>
    </row>
    <row r="81" spans="1:11" x14ac:dyDescent="0.2">
      <c r="A81"/>
      <c r="B81"/>
      <c r="C81"/>
      <c r="D81"/>
      <c r="E81"/>
      <c r="F81"/>
      <c r="G81"/>
      <c r="H81"/>
      <c r="I81"/>
      <c r="J81"/>
      <c r="K81"/>
    </row>
    <row r="82" spans="1:11" x14ac:dyDescent="0.2">
      <c r="A82"/>
      <c r="B82"/>
      <c r="C82"/>
      <c r="D82"/>
      <c r="E82"/>
      <c r="F82"/>
      <c r="G82"/>
      <c r="H82"/>
      <c r="I82"/>
      <c r="J82"/>
      <c r="K82"/>
    </row>
    <row r="83" spans="1:11" x14ac:dyDescent="0.2">
      <c r="A83"/>
      <c r="B83"/>
      <c r="C83"/>
      <c r="D83"/>
      <c r="E83"/>
      <c r="F83"/>
      <c r="G83"/>
      <c r="H83"/>
      <c r="I83"/>
      <c r="J83"/>
      <c r="K83"/>
    </row>
    <row r="84" spans="1:11" x14ac:dyDescent="0.2">
      <c r="A84"/>
      <c r="B84"/>
      <c r="C84"/>
      <c r="D84"/>
      <c r="E84"/>
      <c r="F84"/>
      <c r="G84"/>
      <c r="H84"/>
      <c r="I84"/>
      <c r="J84"/>
      <c r="K84"/>
    </row>
    <row r="85" spans="1:11" x14ac:dyDescent="0.2">
      <c r="A85"/>
      <c r="B85"/>
      <c r="C85"/>
      <c r="D85"/>
      <c r="E85"/>
      <c r="F85"/>
      <c r="G85"/>
      <c r="H85"/>
      <c r="I85"/>
      <c r="J85"/>
      <c r="K85"/>
    </row>
    <row r="86" spans="1:11" x14ac:dyDescent="0.2">
      <c r="A86"/>
      <c r="B86"/>
      <c r="C86"/>
      <c r="D86"/>
      <c r="E86"/>
      <c r="F86"/>
      <c r="G86"/>
      <c r="H86"/>
      <c r="I86"/>
      <c r="J86"/>
      <c r="K86"/>
    </row>
    <row r="87" spans="1:11" x14ac:dyDescent="0.2">
      <c r="A87"/>
      <c r="B87"/>
      <c r="C87"/>
      <c r="D87"/>
      <c r="E87"/>
      <c r="F87"/>
      <c r="G87"/>
      <c r="H87"/>
      <c r="I87"/>
      <c r="J87"/>
      <c r="K87"/>
    </row>
    <row r="88" spans="1:11" x14ac:dyDescent="0.2">
      <c r="A88"/>
      <c r="B88"/>
      <c r="C88"/>
      <c r="D88"/>
      <c r="E88"/>
      <c r="F88"/>
      <c r="G88"/>
      <c r="H88"/>
      <c r="I88"/>
      <c r="J88"/>
      <c r="K88"/>
    </row>
    <row r="89" spans="1:11" x14ac:dyDescent="0.2">
      <c r="A89"/>
      <c r="B89"/>
      <c r="C89"/>
      <c r="D89"/>
      <c r="E89"/>
      <c r="F89"/>
      <c r="G89"/>
      <c r="H89"/>
      <c r="I89"/>
      <c r="J89"/>
      <c r="K89"/>
    </row>
    <row r="90" spans="1:11" x14ac:dyDescent="0.2">
      <c r="A90"/>
      <c r="B90"/>
      <c r="C90"/>
      <c r="D90"/>
      <c r="E90"/>
      <c r="F90"/>
      <c r="G90"/>
      <c r="H90"/>
      <c r="I90"/>
      <c r="J90"/>
      <c r="K90"/>
    </row>
    <row r="91" spans="1:11" x14ac:dyDescent="0.2">
      <c r="A91"/>
      <c r="B91"/>
      <c r="C91"/>
      <c r="D91"/>
      <c r="E91"/>
      <c r="F91"/>
      <c r="G91"/>
      <c r="H91"/>
      <c r="I91"/>
      <c r="J91"/>
      <c r="K91"/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F8BC5-1AC9-9940-A8AB-3CBB68A58EAB}">
  <dimension ref="A3:D17"/>
  <sheetViews>
    <sheetView zoomScale="125" workbookViewId="0">
      <selection activeCell="F22" sqref="F22"/>
    </sheetView>
  </sheetViews>
  <sheetFormatPr baseColWidth="10" defaultRowHeight="16" x14ac:dyDescent="0.2"/>
  <cols>
    <col min="1" max="1" width="14.6640625" bestFit="1" customWidth="1"/>
    <col min="2" max="2" width="20.1640625" bestFit="1" customWidth="1"/>
    <col min="3" max="3" width="17.1640625" bestFit="1" customWidth="1"/>
    <col min="4" max="4" width="15.83203125" bestFit="1" customWidth="1"/>
  </cols>
  <sheetData>
    <row r="3" spans="1:4" x14ac:dyDescent="0.2">
      <c r="A3" s="26" t="s">
        <v>522</v>
      </c>
      <c r="B3" t="s">
        <v>528</v>
      </c>
      <c r="C3" t="s">
        <v>527</v>
      </c>
      <c r="D3" t="s">
        <v>524</v>
      </c>
    </row>
    <row r="4" spans="1:4" x14ac:dyDescent="0.2">
      <c r="A4" s="27" t="s">
        <v>18</v>
      </c>
      <c r="B4" s="8">
        <v>629692000</v>
      </c>
      <c r="C4" s="8">
        <v>597786000</v>
      </c>
      <c r="D4" s="8">
        <v>268756000</v>
      </c>
    </row>
    <row r="5" spans="1:4" x14ac:dyDescent="0.2">
      <c r="A5" s="28" t="s">
        <v>40</v>
      </c>
      <c r="B5" s="8">
        <v>241652000</v>
      </c>
      <c r="C5" s="8">
        <v>220970500</v>
      </c>
      <c r="D5" s="8">
        <v>90346500</v>
      </c>
    </row>
    <row r="6" spans="1:4" x14ac:dyDescent="0.2">
      <c r="A6" s="28" t="s">
        <v>19</v>
      </c>
      <c r="B6" s="8">
        <v>187811000</v>
      </c>
      <c r="C6" s="8">
        <v>178654500</v>
      </c>
      <c r="D6" s="8">
        <v>83346500</v>
      </c>
    </row>
    <row r="7" spans="1:4" x14ac:dyDescent="0.2">
      <c r="A7" s="28" t="s">
        <v>31</v>
      </c>
      <c r="B7" s="8">
        <v>200229000</v>
      </c>
      <c r="C7" s="8">
        <v>198161000</v>
      </c>
      <c r="D7" s="8">
        <v>95063000</v>
      </c>
    </row>
    <row r="8" spans="1:4" x14ac:dyDescent="0.2">
      <c r="A8" s="27" t="s">
        <v>12</v>
      </c>
      <c r="B8" s="8">
        <v>646419000</v>
      </c>
      <c r="C8" s="8">
        <v>593624000</v>
      </c>
      <c r="D8" s="8">
        <v>250236000</v>
      </c>
    </row>
    <row r="9" spans="1:4" x14ac:dyDescent="0.2">
      <c r="A9" s="28" t="s">
        <v>13</v>
      </c>
      <c r="B9" s="8">
        <v>280422000</v>
      </c>
      <c r="C9" s="8">
        <v>265457500</v>
      </c>
      <c r="D9" s="8">
        <v>116989500</v>
      </c>
    </row>
    <row r="10" spans="1:4" x14ac:dyDescent="0.2">
      <c r="A10" s="28" t="s">
        <v>33</v>
      </c>
      <c r="B10" s="8">
        <v>365997000</v>
      </c>
      <c r="C10" s="8">
        <v>328166500</v>
      </c>
      <c r="D10" s="8">
        <v>133246500</v>
      </c>
    </row>
    <row r="11" spans="1:4" x14ac:dyDescent="0.2">
      <c r="A11" s="27" t="s">
        <v>25</v>
      </c>
      <c r="B11" s="8">
        <v>525731000</v>
      </c>
      <c r="C11" s="8">
        <v>493979000</v>
      </c>
      <c r="D11" s="8">
        <v>216990000</v>
      </c>
    </row>
    <row r="12" spans="1:4" x14ac:dyDescent="0.2">
      <c r="A12" s="28" t="s">
        <v>37</v>
      </c>
      <c r="B12" s="8">
        <v>250495000</v>
      </c>
      <c r="C12" s="8">
        <v>222304500</v>
      </c>
      <c r="D12" s="8">
        <v>88990500</v>
      </c>
    </row>
    <row r="13" spans="1:4" x14ac:dyDescent="0.2">
      <c r="A13" s="28" t="s">
        <v>26</v>
      </c>
      <c r="B13" s="8">
        <v>275236000</v>
      </c>
      <c r="C13" s="8">
        <v>271674500</v>
      </c>
      <c r="D13" s="8">
        <v>127999500</v>
      </c>
    </row>
    <row r="14" spans="1:4" x14ac:dyDescent="0.2">
      <c r="A14" s="27" t="s">
        <v>22</v>
      </c>
      <c r="B14" s="8">
        <v>635298000</v>
      </c>
      <c r="C14" s="8">
        <v>612096500</v>
      </c>
      <c r="D14" s="8">
        <v>279371500</v>
      </c>
    </row>
    <row r="15" spans="1:4" x14ac:dyDescent="0.2">
      <c r="A15" s="28" t="s">
        <v>23</v>
      </c>
      <c r="B15" s="8">
        <v>263645000</v>
      </c>
      <c r="C15" s="8">
        <v>250523500</v>
      </c>
      <c r="D15" s="8">
        <v>110437500</v>
      </c>
    </row>
    <row r="16" spans="1:4" x14ac:dyDescent="0.2">
      <c r="A16" s="28" t="s">
        <v>29</v>
      </c>
      <c r="B16" s="8">
        <v>371653000</v>
      </c>
      <c r="C16" s="8">
        <v>361573000</v>
      </c>
      <c r="D16" s="8">
        <v>168934000</v>
      </c>
    </row>
    <row r="17" spans="1:4" x14ac:dyDescent="0.2">
      <c r="A17" s="27" t="s">
        <v>523</v>
      </c>
      <c r="B17" s="8">
        <v>2437140000</v>
      </c>
      <c r="C17" s="8">
        <v>2297485500</v>
      </c>
      <c r="D17" s="8">
        <v>1015353500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A0F6-94EA-D34D-951B-68CAA166D260}">
  <dimension ref="A1:B12"/>
  <sheetViews>
    <sheetView zoomScale="150" workbookViewId="0">
      <selection activeCell="E8" sqref="E8"/>
    </sheetView>
  </sheetViews>
  <sheetFormatPr baseColWidth="10" defaultRowHeight="16" x14ac:dyDescent="0.2"/>
  <cols>
    <col min="1" max="1" width="22.33203125" bestFit="1" customWidth="1"/>
    <col min="2" max="2" width="15.1640625" bestFit="1" customWidth="1"/>
  </cols>
  <sheetData>
    <row r="1" spans="1:2" x14ac:dyDescent="0.2">
      <c r="A1" s="26" t="s">
        <v>529</v>
      </c>
      <c r="B1" t="s">
        <v>526</v>
      </c>
    </row>
    <row r="3" spans="1:2" x14ac:dyDescent="0.2">
      <c r="A3" s="26" t="s">
        <v>522</v>
      </c>
      <c r="B3" t="s">
        <v>524</v>
      </c>
    </row>
    <row r="4" spans="1:2" x14ac:dyDescent="0.2">
      <c r="A4" s="27" t="s">
        <v>530</v>
      </c>
      <c r="B4" s="8">
        <v>134063000</v>
      </c>
    </row>
    <row r="5" spans="1:2" x14ac:dyDescent="0.2">
      <c r="A5" s="27" t="s">
        <v>531</v>
      </c>
      <c r="B5" s="8">
        <v>103587500</v>
      </c>
    </row>
    <row r="6" spans="1:2" x14ac:dyDescent="0.2">
      <c r="A6" s="27" t="s">
        <v>532</v>
      </c>
      <c r="B6" s="8">
        <v>165101000</v>
      </c>
    </row>
    <row r="7" spans="1:2" x14ac:dyDescent="0.2">
      <c r="A7" s="27" t="s">
        <v>533</v>
      </c>
      <c r="B7" s="8">
        <v>138662000</v>
      </c>
    </row>
    <row r="8" spans="1:2" x14ac:dyDescent="0.2">
      <c r="A8" s="27" t="s">
        <v>534</v>
      </c>
      <c r="B8" s="8">
        <v>125618500</v>
      </c>
    </row>
    <row r="9" spans="1:2" x14ac:dyDescent="0.2">
      <c r="A9" s="27" t="s">
        <v>535</v>
      </c>
      <c r="B9" s="8">
        <v>88647000</v>
      </c>
    </row>
    <row r="10" spans="1:2" x14ac:dyDescent="0.2">
      <c r="A10" s="27" t="s">
        <v>536</v>
      </c>
      <c r="B10" s="8">
        <v>117138000</v>
      </c>
    </row>
    <row r="11" spans="1:2" x14ac:dyDescent="0.2">
      <c r="A11" s="27" t="s">
        <v>537</v>
      </c>
      <c r="B11" s="8">
        <v>142536500</v>
      </c>
    </row>
    <row r="12" spans="1:2" x14ac:dyDescent="0.2">
      <c r="A12" s="27" t="s">
        <v>523</v>
      </c>
      <c r="B12" s="8">
        <v>1015353500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 Penjualan</vt:lpstr>
      <vt:lpstr>Referensi</vt:lpstr>
      <vt:lpstr>Insight</vt:lpstr>
      <vt:lpstr>Pivot</vt:lpstr>
      <vt:lpstr>Pivot2</vt:lpstr>
      <vt:lpstr>Pivot3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Gede Mahardika</dc:creator>
  <cp:lastModifiedBy>Gede Mahardika</cp:lastModifiedBy>
  <dcterms:created xsi:type="dcterms:W3CDTF">2026-07-10T06:03:20Z</dcterms:created>
  <dcterms:modified xsi:type="dcterms:W3CDTF">2026-07-10T12:07:09Z</dcterms:modified>
</cp:coreProperties>
</file>